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1584" windowWidth="22692" windowHeight="7200" tabRatio="890" activeTab="0"/>
  </bookViews>
  <sheets>
    <sheet name="國外旅費" sheetId="1" r:id="rId1"/>
    <sheet name="大陸地區旅費" sheetId="2" r:id="rId2"/>
  </sheets>
  <definedNames>
    <definedName name="_xlnm.Print_Area" localSheetId="1">'大陸地區旅費'!$A$1:$K$453</definedName>
    <definedName name="_xlnm.Print_Area" localSheetId="0">'國外旅費'!$A$1:$K$1881</definedName>
    <definedName name="_xlnm.Print_Titles" localSheetId="1">'大陸地區旅費'!$1:$5</definedName>
    <definedName name="_xlnm.Print_Titles" localSheetId="0">'國外旅費'!$1:$5</definedName>
  </definedNames>
  <calcPr fullCalcOnLoad="1"/>
</workbook>
</file>

<file path=xl/sharedStrings.xml><?xml version="1.0" encoding="utf-8"?>
<sst xmlns="http://schemas.openxmlformats.org/spreadsheetml/2006/main" count="13470" uniqueCount="6145">
  <si>
    <t>研發能量提升計畫</t>
  </si>
  <si>
    <t>大陸地區旅費</t>
  </si>
  <si>
    <t>數學研究所</t>
  </si>
  <si>
    <t>透過Drell-Yan過程量測核子反夸克的不對稱分布和價夸克橫向動量維度分布_MOST103-2112-M-001-026-MY3</t>
  </si>
  <si>
    <t>化學研究所</t>
  </si>
  <si>
    <t>化學研究所小計</t>
  </si>
  <si>
    <t>亞洲增生與碰撞大地構造研究整合型計劃－II總計畫--解碼古地函：中亞造山帶蛇綠岩的地球化學研究_NSC102-2628-M-001-006--MY4</t>
  </si>
  <si>
    <t>植物暨微生物學研究所</t>
  </si>
  <si>
    <t>歷史語言研究所</t>
  </si>
  <si>
    <t>合肥</t>
  </si>
  <si>
    <t>歷史語言研究所小計</t>
  </si>
  <si>
    <t>利率風險傳遞與條件風險值_NSC102-2410-H-001-009-MY2</t>
  </si>
  <si>
    <t>歐美研究所</t>
  </si>
  <si>
    <t>歐美研究所小計</t>
  </si>
  <si>
    <t>兩水準與三水準最佳化部份因子實驗設計的分析和建構_NSC 102-2628-M-001-002-MY3</t>
  </si>
  <si>
    <t>天文及天文物理研究所小計</t>
  </si>
  <si>
    <t>台灣史研究所</t>
  </si>
  <si>
    <t>社會學研究所</t>
  </si>
  <si>
    <t>社會學研究所小計</t>
  </si>
  <si>
    <t>語言學研究所</t>
  </si>
  <si>
    <t>閩東方言介詞比較研究-方言語法史的觀點_NSC101-2410-H-001-091-MY3</t>
  </si>
  <si>
    <t>語言學研究所小計</t>
  </si>
  <si>
    <t>農業生物科技研究中心</t>
  </si>
  <si>
    <t>農業生物科技研究中心小計</t>
  </si>
  <si>
    <t>政治學研究所</t>
  </si>
  <si>
    <t>政治學研究所小計</t>
  </si>
  <si>
    <t>基因體研究中心</t>
  </si>
  <si>
    <t>基因體研究中心小計</t>
  </si>
  <si>
    <t>法律學研究所</t>
  </si>
  <si>
    <t>法律學研究所小計</t>
  </si>
  <si>
    <t>資訊科技創新研究中心</t>
  </si>
  <si>
    <t>福建</t>
  </si>
  <si>
    <t>研發能量提升計畫-基因體研究中心</t>
  </si>
  <si>
    <t>兩岸共同研究議題－地震延續合作研究：雲南及鄰區中強地震破裂方向性與發震斷層關係研究_MOST103-2116-M-001-026-MY3</t>
  </si>
  <si>
    <t>人文社會科學研究中心</t>
  </si>
  <si>
    <t>在自我選擇環境下的合作問題：理論、實驗及儒家文化中的驗證_103-2410-H-001-007-MY3</t>
  </si>
  <si>
    <t>人文社會科學研究中心小計</t>
  </si>
  <si>
    <t>資訊科技創新研究中心小計</t>
  </si>
  <si>
    <t>國外旅費</t>
  </si>
  <si>
    <t>浦項</t>
  </si>
  <si>
    <t>香港</t>
  </si>
  <si>
    <t>細胞與個體生物學研究所</t>
  </si>
  <si>
    <t>上海市</t>
  </si>
  <si>
    <t>北京市</t>
  </si>
  <si>
    <t>歐美亞澳洲</t>
  </si>
  <si>
    <t>歐美亞澳非洲</t>
  </si>
  <si>
    <t>臺法(FR)國合計畫-結合X光與紅外線光譜3D成像開發慢性腎臟病交叉診斷之新穎策略_NSC103-2923-M-001-002-MY3</t>
  </si>
  <si>
    <t>兵庫縣</t>
  </si>
  <si>
    <t>波爾多</t>
  </si>
  <si>
    <t>以重組酵母菌進行藻類產油之研究_MOST103-2311-B-001-029-MY3(植輝)</t>
  </si>
  <si>
    <t>細胞與個體生物學研究所小計</t>
  </si>
  <si>
    <t>生物影像的統計分析_NSC 102-2628-M-001-003-MY4</t>
  </si>
  <si>
    <t>腦內非穩態歷程及網路連結:功能性磁振造影研究_MOST 103-2410-H-001-058-MY2</t>
  </si>
  <si>
    <t>出席國際會議</t>
  </si>
  <si>
    <t>培育科技菁英計畫</t>
  </si>
  <si>
    <t>培育科技菁英計畫-經濟研究所</t>
  </si>
  <si>
    <t>羅徹斯特市</t>
  </si>
  <si>
    <t>美國</t>
  </si>
  <si>
    <t>台法國合計畫-奈米金屬氧物之磁性研究_NSC102-2923-M-001-002-MY3</t>
  </si>
  <si>
    <t>兵庫</t>
  </si>
  <si>
    <t>馬尼拉隱沒帶之地殼變形與孕震特性研究_NSC102-2116-M-001-028-MY3</t>
  </si>
  <si>
    <t>赴菲律賓呂宋地區GPS衛星測量及衛星固定站儀器維護</t>
  </si>
  <si>
    <t>北卡羅萊納州</t>
  </si>
  <si>
    <t>Ann Arbor</t>
  </si>
  <si>
    <t>澳門</t>
  </si>
  <si>
    <t>開會</t>
  </si>
  <si>
    <t>研究</t>
  </si>
  <si>
    <t>資訊科技創新研究中心小計</t>
  </si>
  <si>
    <t>資訊科技創新研究中心</t>
  </si>
  <si>
    <t>出國計畫執行情形報告表</t>
  </si>
  <si>
    <t>經費來源</t>
  </si>
  <si>
    <t>出國
類別</t>
  </si>
  <si>
    <t>出國計畫名稱及內容簡述</t>
  </si>
  <si>
    <t>起迄日期</t>
  </si>
  <si>
    <t>地點</t>
  </si>
  <si>
    <t>備    註</t>
  </si>
  <si>
    <t>年度別</t>
  </si>
  <si>
    <t>工作計畫</t>
  </si>
  <si>
    <t>用途別科目(二級)</t>
  </si>
  <si>
    <t>預算(保留)金額</t>
  </si>
  <si>
    <t>決算金額
(含保留數)</t>
  </si>
  <si>
    <t>國家</t>
  </si>
  <si>
    <t>城市</t>
  </si>
  <si>
    <t>赴大陸計畫執行情形報告表</t>
  </si>
  <si>
    <t>省(自治區、直轄市或特別行政區)</t>
  </si>
  <si>
    <t>中央研究院科學研究基金</t>
  </si>
  <si>
    <t>雲南</t>
  </si>
  <si>
    <t>全院總計</t>
  </si>
  <si>
    <t>國外旅費</t>
  </si>
  <si>
    <t>大陸地區旅費</t>
  </si>
  <si>
    <t>　</t>
  </si>
  <si>
    <t>加拿大(Canada)</t>
  </si>
  <si>
    <t>日本(Japan)</t>
  </si>
  <si>
    <t>名古屋(Nagoya)</t>
  </si>
  <si>
    <t>愛爾蘭(Ireland)</t>
  </si>
  <si>
    <t>古典李超代數的模範疇(程舜仁)_MOST103-2115-M-001-010-MY3</t>
  </si>
  <si>
    <t>澳大利亞(Australia)</t>
  </si>
  <si>
    <t>雪梨(Sydney)</t>
  </si>
  <si>
    <t>瑞典(Sweden)</t>
  </si>
  <si>
    <t>Uppsala</t>
  </si>
  <si>
    <t>南韓(Korea)</t>
  </si>
  <si>
    <t>首爾(Seoul)</t>
  </si>
  <si>
    <t>義大利(Italy)</t>
  </si>
  <si>
    <t>馬可夫隨機系統及其相關問題的研究和應用(黃啟瑞)_MOST103-2115-M-001-012-MY2</t>
  </si>
  <si>
    <t>英國(United Kingdom)</t>
  </si>
  <si>
    <t>數學研究所小計</t>
  </si>
  <si>
    <t>札幌(Sapporo)</t>
  </si>
  <si>
    <t>美國(U.S.A.)</t>
  </si>
  <si>
    <t>舊金山(San Francisco,California)</t>
  </si>
  <si>
    <t>聖地牙哥(San Diego,California)</t>
  </si>
  <si>
    <t>東京(Tokyo)</t>
  </si>
  <si>
    <t>德國(Germany)</t>
  </si>
  <si>
    <t>等周問題,正質量定理,及指標積分公式(鄭日新)_MOST104-2115-M-001-011-MY2</t>
  </si>
  <si>
    <t>正切錐的理論研究與方法推廣(黃一樵)_MOST104-2115-M-001-008-</t>
  </si>
  <si>
    <t>頂點算子代數的軌流形理論(林正洪)_MOST104-2115-M-001-004-MY3</t>
  </si>
  <si>
    <t>Muenster</t>
  </si>
  <si>
    <t>法國(France)</t>
  </si>
  <si>
    <t>巴黎(Paris)</t>
  </si>
  <si>
    <t>數學研究所</t>
  </si>
  <si>
    <t>巴西(Brazil)</t>
  </si>
  <si>
    <t>新加坡(Singapore)</t>
  </si>
  <si>
    <t>植物暨微生物學研究所小計</t>
  </si>
  <si>
    <t>波士頓(Boston,Massachuseetts)</t>
  </si>
  <si>
    <t>創新轉譯農學研究計畫</t>
  </si>
  <si>
    <t>費城(Philadelphia,Pennsylvania)</t>
  </si>
  <si>
    <t>香港(Hong Kong)</t>
  </si>
  <si>
    <t>江蘇</t>
  </si>
  <si>
    <t>蘇州(Suzhou)</t>
  </si>
  <si>
    <t>武漢(Wu Han)</t>
  </si>
  <si>
    <t>湖北</t>
  </si>
  <si>
    <t>北京(Beijing)</t>
  </si>
  <si>
    <t>四川</t>
  </si>
  <si>
    <t>成都(Chengdu)</t>
  </si>
  <si>
    <t>黑龍江</t>
  </si>
  <si>
    <t>哈爾濱(Harbin)</t>
  </si>
  <si>
    <t>徐州</t>
  </si>
  <si>
    <t>廈門(Xiamen)</t>
  </si>
  <si>
    <t>廈門(Xiamen) 泉州</t>
  </si>
  <si>
    <t>上海(Shanghai)</t>
  </si>
  <si>
    <t>模p志村族之幾何(余家富)_MOST104-2115-M-001-001-MY3</t>
  </si>
  <si>
    <t>受邀至武漢大學移地研究</t>
  </si>
  <si>
    <t>西藏</t>
  </si>
  <si>
    <t>浙江</t>
  </si>
  <si>
    <t>地球科學研究所</t>
  </si>
  <si>
    <t>地球科學研究所小計</t>
  </si>
  <si>
    <t>赴北京中國科學院地質與地球物理研究所進行全岩鋨同位素方法建立學習與岩樣分析</t>
  </si>
  <si>
    <t>合肥 北京(Beijing)</t>
  </si>
  <si>
    <t>利用鎂，鐵及鋰同位素探討造山帶岩漿活動：阿爾卑斯－喜馬拉雅造山帶之個案研究_MOST104-2116-M-001-001-MY2</t>
  </si>
  <si>
    <t>造山作用變形構造的長期演育機制分析(三)：活斷層，節理，岩石熱歷史，塊體旋轉_MOST104-2116-M-001-020</t>
  </si>
  <si>
    <t>聖安東尼(San Antonio,Texas)</t>
  </si>
  <si>
    <t>奧地利(Austria)</t>
  </si>
  <si>
    <t>維也納(Vienna)</t>
  </si>
  <si>
    <t>越南(Vietnam)</t>
  </si>
  <si>
    <t>河內(Hanoi)</t>
  </si>
  <si>
    <t>捷克(Czech Republic)</t>
  </si>
  <si>
    <t>布拉格(Prauge)</t>
  </si>
  <si>
    <t>京都(Kyoto)</t>
  </si>
  <si>
    <t>臺俄(RU)國合計畫－中亞之造山帶演化與氣候變遷_MOST104-2923-M-001-003-MY3</t>
  </si>
  <si>
    <t>俄羅斯(Russia)</t>
  </si>
  <si>
    <t>參加2015美國地球物理聯盟秋季大會</t>
  </si>
  <si>
    <t>赴菲律賓從事野外調查與維護寬頻地震站及收集地震資料</t>
  </si>
  <si>
    <t>菲律賓(Philippines)</t>
  </si>
  <si>
    <t>馬尼拉(Manila)</t>
  </si>
  <si>
    <t>臺印(IN)國合計畫－印度古傑拉特邦卡奇地區全波場三維成像及Lg波衰減合作研究_MOST103-2923-M-001-008-MY3</t>
  </si>
  <si>
    <t>赴印度訪問開展科技部台印合作計劃</t>
  </si>
  <si>
    <t>印度(India)</t>
  </si>
  <si>
    <t>西雅圖(Seattle,Washington)</t>
  </si>
  <si>
    <t>沖繩(Okinawa)</t>
  </si>
  <si>
    <t>斯特拉斯堡(Strasbourg)</t>
  </si>
  <si>
    <t>馬尼拉(Manila) 北呂宋</t>
  </si>
  <si>
    <t>大屯火山觀測站防災應用(1/2)_MOST104-2119-M-001-003</t>
  </si>
  <si>
    <t>台越(VN)國合計畫－以寬頻地震儀及連續GPS資料探討越南北部地區深部構造與現今地殼活動_NSC103-2923-M-001-001-MY3</t>
  </si>
  <si>
    <t>伊朗(Iran)</t>
  </si>
  <si>
    <t>參加2015美國地球物理聯盟秋季大會並於會議前後與當地教授及國際期刊編輯們進行交流、切磋。</t>
  </si>
  <si>
    <t>參加2015美國地球物理聯盟秋季大會及赴史丹福大學從事高壓實驗研究</t>
  </si>
  <si>
    <t>前往日本京都大學地球惑星科學系進行"由於全球變化探討南極洲時變重力的現象"的研究</t>
  </si>
  <si>
    <t>倫敦(London)</t>
  </si>
  <si>
    <t>西班牙(Spain)</t>
  </si>
  <si>
    <t>釜山(Pusan)</t>
  </si>
  <si>
    <t>荷蘭(Netherlands)</t>
  </si>
  <si>
    <t>紐西蘭(New Zealand)</t>
  </si>
  <si>
    <t>奧克蘭(Auckland)</t>
  </si>
  <si>
    <t>104/05/04-104/08/31</t>
  </si>
  <si>
    <t>Santa Barbara 紐約市(New York,New York)</t>
  </si>
  <si>
    <t>紐約市(New York,New York)</t>
  </si>
  <si>
    <t>資訊科學研究所</t>
  </si>
  <si>
    <t>科研環境領航計畫</t>
  </si>
  <si>
    <t>葡萄牙(Portugal)</t>
  </si>
  <si>
    <t>代1275-基於多模組整合學習於大量多媒體資料內容分析（1/2）</t>
  </si>
  <si>
    <t>執行龍門計畫赴美訪問。</t>
  </si>
  <si>
    <t>104/08/24-104/10/13</t>
  </si>
  <si>
    <t>代1285-新世代的理論密碼學研究合作計畫</t>
  </si>
  <si>
    <t>赴美國康乃爾大學紐約科技分校進行3個月短期研究合作。</t>
  </si>
  <si>
    <t>訪問</t>
  </si>
  <si>
    <t>張原豪老師計畫結餘款－兩岸5G合作工作會議</t>
  </si>
  <si>
    <t>104/03/27-104/03/30</t>
  </si>
  <si>
    <t>中國大陸(China)</t>
  </si>
  <si>
    <t>西安(Xian)</t>
  </si>
  <si>
    <t>資訊研究所小計</t>
  </si>
  <si>
    <t>西雅圖(Seattle,Washington) Redmond</t>
  </si>
  <si>
    <t>橫濱(Yokohama)</t>
  </si>
  <si>
    <t>出席國際會議並發表論文。NVMSA</t>
  </si>
  <si>
    <t>統計科學研究所</t>
  </si>
  <si>
    <t>微分方程與形式冪級數之漸近分析與應用_MOST 103-2118-M-001-004-MY3</t>
  </si>
  <si>
    <t>里約熱內盧(Riode Janeiro)</t>
  </si>
  <si>
    <t>統計科學研究所小計</t>
  </si>
  <si>
    <t>計畫結餘款再運用</t>
  </si>
  <si>
    <t>杭州(Hangzhou)</t>
  </si>
  <si>
    <t>昆明(kunming)</t>
  </si>
  <si>
    <t>資訊科學研究所小計</t>
  </si>
  <si>
    <t>物理研究所</t>
  </si>
  <si>
    <t>懸浮軟顆粒在切變場中的行為_MOST104-2112-M-001-031</t>
  </si>
  <si>
    <t>對撞機物理的微擾量子色動力學研究及三體B介子衰變的微擾量子色動力學分析_MOST104-2112-M-001-037-MY3</t>
  </si>
  <si>
    <t>歐盟奈米材料研究計畫:複合材料的物理性質(3/3)_MOST104-2923-M-001-004</t>
  </si>
  <si>
    <t>赴日本東京參加"Complex phenomena from molecule to society"研討會，並發表演講</t>
  </si>
  <si>
    <t>104/11/22-104/12/10</t>
  </si>
  <si>
    <t>日本(Japan) 中國大陸(China)</t>
  </si>
  <si>
    <t>東京(Tokyo) 岡崎 上海(Shanghai)</t>
  </si>
  <si>
    <t>廣島(Hiroshima)</t>
  </si>
  <si>
    <t>奈米科技創新應用規劃推動計畫II_MOST104-2119-M-001-005</t>
  </si>
  <si>
    <t>柏林(Berlin)</t>
  </si>
  <si>
    <t>高分子超薄膜相分離、動力學及粘彈性_MOST104-2112-M-001-035-MY3</t>
  </si>
  <si>
    <t>瑞士(Switzerland)</t>
  </si>
  <si>
    <t>日內瓦(Geneva)</t>
  </si>
  <si>
    <t>臺法(FR)國合計畫-發展具分子富集及時空間動力學解析度之高效生物功能性奈米流體生物標誌分子即時偵測_NSC103-2923-M-001-007-MY3</t>
  </si>
  <si>
    <t>理論研究拓樸材料及異質介面物理-理論研究拓樸材料及異質介面物理_MOST103-2119-M-001-011-MY2</t>
  </si>
  <si>
    <t>微中子物理與黑暗宇宙_MOST104-2112-M-001-042-MY3</t>
  </si>
  <si>
    <t>宇宙微波背景磁模偏振之研究及探索暴脹物理_MOST104-2112-M-001-039-MY3</t>
  </si>
  <si>
    <t>阿拉伯聯合大公國(United Arab Emirates)</t>
  </si>
  <si>
    <t>新穎超導體之相圖及超導機制研究-總計畫及子計畫一:鐵硒超導體之相圖與超導機制研究_NSC102-2112-M-001-025-MY3</t>
  </si>
  <si>
    <t>史丹佛(Stanford,California)</t>
  </si>
  <si>
    <t>探索超薄石墨片中的熱電及自旋相關傳輸現象_NSC102-2112-M-001-022-MY3</t>
  </si>
  <si>
    <t>巴塞隆納(Barcelona)</t>
  </si>
  <si>
    <t>芬蘭(Finland)</t>
  </si>
  <si>
    <t>磁性奈米結構中的磁振子和自旋力矩轉移之研究_NSC102-2112-M-001-021-MY3</t>
  </si>
  <si>
    <t>以原子力顯微術探討水與固體界面:氣體效應_NSC102-2112-M-001-024-MY3</t>
  </si>
  <si>
    <t>海牙(Hague,the)</t>
  </si>
  <si>
    <t>以自發和受激發動力學方法推斷神經和心肌細胞培養中網絡結構之研究_NSC102-2112-M-001-009-MY3</t>
  </si>
  <si>
    <t>低成本DIY原子力顯微鏡系統之開發_MOST104-2221-E-001-003</t>
  </si>
  <si>
    <t>掃描探針顯微術與能譜術在鉛超薄膜的量子局限效應之研究_MOST103-2112-M-001-022-MY3</t>
  </si>
  <si>
    <t>以單分子技術檢視細菌在奈米侷限空間壓迫下引致的基因複製或放大現象及其促變過程_NSC102-2112-M-001-005-MY3</t>
  </si>
  <si>
    <t>海德堡(Heidelberg)</t>
  </si>
  <si>
    <t>腦磁波儀實驗室外界補助款</t>
  </si>
  <si>
    <t>物理研究所</t>
  </si>
  <si>
    <t>微陣列X光源快速相位對比X光成像(1/3)_MOST104-2119-M-001-012</t>
  </si>
  <si>
    <t>以AMS-02挑戰基本物理與宇宙論_MOST104-2112-M-001-027</t>
  </si>
  <si>
    <t>104/11/15-104/11/21</t>
  </si>
  <si>
    <t>馬德里(Madrid)</t>
  </si>
  <si>
    <t>參與ATLAS實驗搜尋新物理現象-15-在ATLAS的Run2數據實驗尋找新物理與希格斯玻色子的b b-bar衰變管道_MOST104-2112-M-001-026-MY3</t>
  </si>
  <si>
    <t>本所副研究員王嵩銘博士擬於2015年10月11日至12月21日止赴於「歐洲粒子物理研究中心」（CERN）從事實驗研究工作。</t>
  </si>
  <si>
    <t>104/10/11-104/12/21</t>
  </si>
  <si>
    <t>104/12/04-104/12/11</t>
  </si>
  <si>
    <t>以奈米流通道及串聯陣列奈米電子量測為基礎的單分子液相層析平台(1/3)_MOST104-2119-M-001-011</t>
  </si>
  <si>
    <t>鳳凰城(Phoenix,Arizona)</t>
  </si>
  <si>
    <t>參與ATLAS實驗搜尋新物理 象-14_MOST103-2112-M-001-017</t>
  </si>
  <si>
    <t>南非共和國(South Africa Rep)</t>
  </si>
  <si>
    <t>104/12/09-104/12/28</t>
  </si>
  <si>
    <t>聖地牙哥(San Diego,California) Cleveland, Ohio 鳳凰城(Phoenix,Arizona)</t>
  </si>
  <si>
    <t>赴南韓Pohang Accelerator Laboratory (PAL)進行X光相關研究</t>
  </si>
  <si>
    <t>進行「結合X光與紅外線光譜3D成像開發慢性腎臟病交叉診斷」相關實驗</t>
  </si>
  <si>
    <t>瑞士(Switzerland) 奧地利(Austria)</t>
  </si>
  <si>
    <t>赴美國費米實驗室(Fermilab)蒐集重要實驗研究資料，以利執行相關實驗研究工作。</t>
  </si>
  <si>
    <t>104/12/07-104/12/30</t>
  </si>
  <si>
    <t>芝加哥(Chicago,Illinois)</t>
  </si>
  <si>
    <t>丹麥(Denmark)</t>
  </si>
  <si>
    <t>哥本哈根(Copenhagen)</t>
  </si>
  <si>
    <t>中國大陸(China) 俄羅斯(Russia)</t>
  </si>
  <si>
    <t>美國(U.S.A.) 中國大陸(China)</t>
  </si>
  <si>
    <t>尼斯(Nice)</t>
  </si>
  <si>
    <t>波蘭(Poland)</t>
  </si>
  <si>
    <t>華沙(Warsaw)</t>
  </si>
  <si>
    <t>赴瑞士日內瓦歐洲粒子物理研究中心(CERN)從事ATLAS實驗工作</t>
  </si>
  <si>
    <t>物理研究所小計</t>
  </si>
  <si>
    <t>安徽</t>
  </si>
  <si>
    <t>104/12/13-104/12/18</t>
  </si>
  <si>
    <t>馬來西亞(Malaysia)</t>
  </si>
  <si>
    <t>吉隆坡(Kuala Lumpur)</t>
  </si>
  <si>
    <t>華盛頓特區(Washington)</t>
  </si>
  <si>
    <t>阿拉伯芥長醇生合成與蛋白醣基化及逆境反應之關聯性研究(植江)_MOST 104-2311-B-001-032-MY3</t>
  </si>
  <si>
    <t>牛津(Oxford)</t>
  </si>
  <si>
    <t>Indianapolis</t>
  </si>
  <si>
    <t>Montpellier</t>
  </si>
  <si>
    <t>植物暨微生物學研究所</t>
  </si>
  <si>
    <t>仙台</t>
  </si>
  <si>
    <t>蒙特婁(Montreal)</t>
  </si>
  <si>
    <t>運用整合型同位素系統分析球粒隕石中富含鈣鋁的包裹物--以探討太陽系的起源及其最早的演化歷史-III_MOST104-2116-M-001-014</t>
  </si>
  <si>
    <t>台灣地震科學中心研究規劃與整合服務(III)_MOST104-2119-M-001-009</t>
  </si>
  <si>
    <t>參加2015American Geophysical Union (AGU) Fall Meeting</t>
  </si>
  <si>
    <t>104/11/13-104/11/22</t>
  </si>
  <si>
    <t>冰衛星之地體動力與演化：不均勻潮汐加熱之效應_MOST104-2116-M-001-012</t>
  </si>
  <si>
    <t>赴美參加2015 AGU Fall Meeting並發表論文</t>
  </si>
  <si>
    <t>俄羅斯(Russia) 中國大陸(China)</t>
  </si>
  <si>
    <t>出席國際會議並發表論文。</t>
  </si>
  <si>
    <t>福岡(Fukuoka)</t>
  </si>
  <si>
    <t>柬埔寨(Cambodia)</t>
  </si>
  <si>
    <t>運用圖像辨識技術於創新服務之研究計畫_</t>
  </si>
  <si>
    <t>CompPDR - 性質導向可達性之組合式分析_MOST103-2221-E-001-020-MY3</t>
  </si>
  <si>
    <t>佛羅倫斯(Florence)</t>
  </si>
  <si>
    <t>丹佛(Denver,Colorado)</t>
  </si>
  <si>
    <t>應用聲音與文字之情感互動於雲端架構之家人關懷－子計畫二：情境感知與個人化音樂推薦_NSC102-2221-E-001-008-MY3</t>
  </si>
  <si>
    <t>以自動機和演算式學習為基礎的程式驗證方法_MOST103-2221-E-001-019-MY3</t>
  </si>
  <si>
    <t>情境為本之文本情感分類研究_MOST104-2221-E-001-024-MY2</t>
  </si>
  <si>
    <t>洛杉磯(Los Angeles,California)</t>
  </si>
  <si>
    <t>低階高容量固態硬體之性能提升設計_NSC102-2221-E-001-009-MY3</t>
  </si>
  <si>
    <t>以色列(Israel)</t>
  </si>
  <si>
    <t>全自動籃球比賽視訊處理及分析技術之研發_MOST103-2221-E-001-009-MY3</t>
  </si>
  <si>
    <t>以多維體學策略來解析日本鰻全生活史之分子調控機制並建置線上分析資料庫_MOST103-2311-B-001-033-MY3</t>
  </si>
  <si>
    <t>新世代的理論密碼學---新的假設、任務與挑戰析_MOST103-2221-E-001-022-MY3</t>
  </si>
  <si>
    <t>104/09/06-104/09/12</t>
  </si>
  <si>
    <t>巨量資料環境下之社群網路分析暨基於社群影響力之應用研究－子計畫四：基於社群網路上多次傳播之接受量最大化探討_MOST103-2221-E-001-006-MY2</t>
  </si>
  <si>
    <t>演算法，組合論，與密碼學 -- 特論如何生成快速與正確的密碼學程式_NSC102-2221-E-001-016-MY3</t>
  </si>
  <si>
    <t>溫哥華(Vancouver)(05/01-10/15)</t>
  </si>
  <si>
    <t>萬物聯網之感測、網路與資料議題研究　_MOST104-2221-E-001-006</t>
  </si>
  <si>
    <t>具品質保證之巨量社群圖擷取與產生技術開發與研究_MOST104-2221-E-001-005-MY2</t>
  </si>
  <si>
    <t>建設風力發電廠的相關網路設計問題之研究(2/3)_MOST104-2221-E-001-031</t>
  </si>
  <si>
    <t>奧蘭多(Orlando,Florida)</t>
  </si>
  <si>
    <t>異質巨量資料中一般性時序關係計算之實用演算法設計與高效率實作_MOST104-2221-E-001-021-MY3</t>
  </si>
  <si>
    <t>溫哥華(Vancouver)(10/16-04/30)</t>
  </si>
  <si>
    <t>巨量資料環境下之社群網路分析暨基於社群影響力之應用研究－子計畫 三：目標指定之多網路與多物件社群網路影響力時限散佈之優化_MOST103-2221-E-001-005-MY2</t>
  </si>
  <si>
    <t>墨爾本(Melbourne)</t>
  </si>
  <si>
    <t>104/11/29-104/12/06</t>
  </si>
  <si>
    <t>德勒斯登(Dresden)</t>
  </si>
  <si>
    <t>國內旅費</t>
  </si>
  <si>
    <t>104/11/20-23</t>
  </si>
  <si>
    <t>里斯本(Lisbon)</t>
  </si>
  <si>
    <t>金澤</t>
  </si>
  <si>
    <t>張原豪老師計畫結餘款－2015 Frontier of Information Storage and Design Automation Technologies Workshop</t>
  </si>
  <si>
    <t>104/05/08-104/05/12</t>
  </si>
  <si>
    <t>以實證概似法推論分佈函數及其應用_MOST 104-2118-M-001-001</t>
  </si>
  <si>
    <t>序貫分析方法於機器學習及巨量數據分析之應用-1_MOST 103-2118-M-001-002-MY3</t>
  </si>
  <si>
    <t>建立體學資料之整合分析方法與系統_MOST 103-2314-B-001-008-MY3</t>
  </si>
  <si>
    <t>多變量連續型長記憶模型及試題反應模型_MOST 104-2118-M-001-008-MY2</t>
  </si>
  <si>
    <t>多重線性羅吉斯迴歸及其應用_MOST 103-2118-M-001-010-MY2</t>
  </si>
  <si>
    <t>高維度圖迴歸_MOST 103-2118-M-001-007-MY3</t>
  </si>
  <si>
    <t>沙烏地阿拉伯(Saudi Arabia)</t>
  </si>
  <si>
    <t>函數型主成分分析的共變數檢定_MOST 104-2118-M-001-003-MY2</t>
  </si>
  <si>
    <t>夏威夷州(State of Hawaii)</t>
  </si>
  <si>
    <t>氫原子21公分譜線宇宙學_NSC 103-2112-M-001-002-MY3</t>
  </si>
  <si>
    <t>Atacama 大型毫米/次毫米陣列-台灣計畫_MOST 103-2119-M-001-010-MY2</t>
  </si>
  <si>
    <t>觀測宇宙最近與最遙遠的星系來揭開星系演化的面紗_MOST 103-2112-M-001-031-MY3</t>
  </si>
  <si>
    <t>智利(Chile)</t>
  </si>
  <si>
    <t>聖地牙哥(Santiago)</t>
  </si>
  <si>
    <t>主焦點儀器組件開發_IAA103001</t>
  </si>
  <si>
    <t>世界領先望遠鏡的開發及空間解析星系中的活動區域_MOST 103-2112-M-001-032-MY3</t>
  </si>
  <si>
    <t>塞浦路斯(Cyprus)</t>
  </si>
  <si>
    <t>法國(France) 德國(Germany)</t>
  </si>
  <si>
    <t>運用次毫米波陣列與阿塔卡瑪大型毫米波及次毫米波陣列研究雙星系統之形成_NSC 102-2119-M-001-012-MY3</t>
  </si>
  <si>
    <t>利用電波干涉儀研究位於M87中心超大質量黑洞的相對論性噴流與吸積流MOST_MOST 103-2112-M-001-038-MY2</t>
  </si>
  <si>
    <t>透過整合理論與ALMA,GLT的觀測來探討宇宙塵的起源和進化_NSC 102-2119-M-001-006-MY3</t>
  </si>
  <si>
    <t>奠定時間延遲的重力透鏡為精確的宇宙學探測工具_MOST 103-2112-M-001-003-MY3</t>
  </si>
  <si>
    <t>慕尼黑(Munich)</t>
  </si>
  <si>
    <t>法國(France) 瑞士(Switzerland)</t>
  </si>
  <si>
    <t>歸仁市(Quy Nhon)</t>
  </si>
  <si>
    <t>鹿兒島(Kagoshima)</t>
  </si>
  <si>
    <t>瑞士(Switzerland) 法國(France)</t>
  </si>
  <si>
    <t>大阪(Osaka)</t>
  </si>
  <si>
    <t>天文及天文物理研究所</t>
  </si>
  <si>
    <t>天文及天文物理研究所小計</t>
  </si>
  <si>
    <t>以ALMA第一次解析原恆星噴流的旋轉_MOST 104-2119-M-001-015-MY3</t>
  </si>
  <si>
    <t>巴塞爾(Basel)</t>
  </si>
  <si>
    <t>劍橋(Cambridge)</t>
  </si>
  <si>
    <t>日本(Japan) 美國(U.S.A.)</t>
  </si>
  <si>
    <t>利用星系團多重探測重力分析進行宇宙學典範的關鍵檢驗_MOST 103-2112-M-001-030-MY3</t>
  </si>
  <si>
    <t>普林斯頓(Princeton)</t>
  </si>
  <si>
    <t>格陵蘭(Greenland)</t>
  </si>
  <si>
    <t>ALAM,SMA, 河外星系的星際物質、活躍星系核、與恆星形成_NSC 102-2119-M-001-011-MY3</t>
  </si>
  <si>
    <t>以ALMA與SMA研究次毫米星系與星系演化_NSC 102-2119-M-001-007-MY3</t>
  </si>
  <si>
    <t>杜伊斯堡(Duisburg)</t>
  </si>
  <si>
    <t>大小麥哲倫星雲中物質的生命週期_MOST 104-2628-M-001-004-MY3</t>
  </si>
  <si>
    <t>聖地牙哥(San Diego,California) 舊金山(San Francisco,California)</t>
  </si>
  <si>
    <t>恆星盤、噴流、分子流之成功ALMA模擬_NSC 102-2119-M-001-008-MY3</t>
  </si>
  <si>
    <t>陶寺文化、二里頭文化與殷墟文化的聚落形態比較研究_MOST 103-2410-H-001-034-MY3</t>
  </si>
  <si>
    <t>臺法(FR)國合計畫－中國海海洋知識之建構_MOST 104-2923-H-001-001-MY4</t>
  </si>
  <si>
    <t>安陽殷墟出土陶範的斷代研究 (III)_MOST 103-2410-H-001-050-MY2</t>
  </si>
  <si>
    <t>歷史語言研究所</t>
  </si>
  <si>
    <t>歷史語言研究所小計</t>
  </si>
  <si>
    <t>亞當史密斯及其世界_MOST 103-2410-H-001-037-MY3</t>
  </si>
  <si>
    <t>愛丁堡(Edinburgh)</t>
  </si>
  <si>
    <t>法屬新喀里多尼亞島(New Caledonia Is.)</t>
  </si>
  <si>
    <t>成人親子衝突歷程中情感與關係的正向轉化:針對年老父母照顧安排脈絡下的探討_MOST 103-2410-H-001-059-SS3</t>
  </si>
  <si>
    <t>權與角力:夫妻間之權力與互動歷程探討_MOST 103-2410-H-001-057-SS2</t>
  </si>
  <si>
    <t>多倫多(Toronto)</t>
  </si>
  <si>
    <t>雙湖記:雲南兩個高原湖泊的生態改變與發展_MOST 103-2420-H-001-006-MY4</t>
  </si>
  <si>
    <t>中國境外的樂舞與文化大革命_RG009-D-13</t>
  </si>
  <si>
    <t>手機,偶像崇拜與現代性:以菲律賓呂宋島北方布卡洛(伊隆戈)人為例的研究_MOST104-2410-H-001-024-MY2</t>
  </si>
  <si>
    <t>臺灣夜市的市場系統、政治經濟與文化意涵:20年的追蹤比較研究_NSC 102-2410-H-001-018-SS3</t>
  </si>
  <si>
    <t>母系社會邏輯變遷與男性口語文本:都蘭阿美的竹占與治病儀式展演_MOST104-2628-H-001-005-MY2</t>
  </si>
  <si>
    <t>希臘(Greece)</t>
  </si>
  <si>
    <t>中國麻風醫師的生命史_MOST 103-2410-H-001-052-MY2</t>
  </si>
  <si>
    <t>民族學研究所</t>
  </si>
  <si>
    <t>民族學研究所小計</t>
  </si>
  <si>
    <t>美國、歐洲</t>
  </si>
  <si>
    <t>泰國(Thailand)</t>
  </si>
  <si>
    <t>曼谷(Bangkok)</t>
  </si>
  <si>
    <t>尼泊爾(Nepal)</t>
  </si>
  <si>
    <t>加德滿都(Kathmandu)</t>
  </si>
  <si>
    <t>家庭倫常與道德自我的追求：明清之際的儒學_MOST 103-2410-H-001-047-MY3</t>
  </si>
  <si>
    <t>近代史研究所</t>
  </si>
  <si>
    <t>巴黎(Paris)</t>
  </si>
  <si>
    <t>紐約市(New York,New York)</t>
  </si>
  <si>
    <t>東京(Tokyo)</t>
  </si>
  <si>
    <t>京都(Kyoto)</t>
  </si>
  <si>
    <t>近代史研究所小計</t>
  </si>
  <si>
    <t>慶州(Kyongju)</t>
  </si>
  <si>
    <t>聖彼得堡(Saint. Petersburg)(05/01-10/31)</t>
  </si>
  <si>
    <t>健康雲跨領域研究計畫</t>
  </si>
  <si>
    <t>出席國際會議</t>
  </si>
  <si>
    <t>參訪西安電子科技大學並出席兩岸5G合作工作會議</t>
  </si>
  <si>
    <t>蔣介石、汪精衛與抗戰時期中國知識分子_MOST 103-2410-H-001-039-MY2</t>
  </si>
  <si>
    <t>英國(United Kingdom) 美國(U.S.A.)</t>
  </si>
  <si>
    <t>中國之戶口制度、城鄉移動、與教育_MOST 103-2410-H-001-016-MY2</t>
  </si>
  <si>
    <t>經驗過程理論在計量經濟學中的應用_MOST 103-2628-H-001-001-MY4</t>
  </si>
  <si>
    <t>顯示性偏好理論與賽局理論的應用_MOST 103-2410-H-001-018-MY2</t>
  </si>
  <si>
    <t>三種資源配置問題之配置法則的研究_NSC102-2410-H-001-010-MY3</t>
  </si>
  <si>
    <t>自我預期實現均衡：勞動供給彈性和資本調整成本的角色_MOST 104-2410-H-001-004-MY3</t>
  </si>
  <si>
    <t>經濟研究所</t>
  </si>
  <si>
    <t>海牙(Hague,the)</t>
  </si>
  <si>
    <t>哥本哈根(Copenhagen)</t>
  </si>
  <si>
    <t>新加坡(Singapore)</t>
  </si>
  <si>
    <t>威靈頓(Wellington)</t>
  </si>
  <si>
    <t>倫敦(London)</t>
  </si>
  <si>
    <t>劍橋(Cambridge)</t>
  </si>
  <si>
    <t>神戶(Kobe)</t>
  </si>
  <si>
    <t>經濟研究所小計</t>
  </si>
  <si>
    <t>103/09/03-105/02/17</t>
  </si>
  <si>
    <t>計劃名稱：人文組年輕學者赴國外進修 內容：楊智鈞助研究員於103年9月起赴美國羅徹斯特大學進修</t>
  </si>
  <si>
    <t>Sendai</t>
  </si>
  <si>
    <t>產品異質，委外代工及貿易獲利之探討_NSC102-2410-H-001-001-MY3</t>
  </si>
  <si>
    <t>細胞與個體生物學研究所小計</t>
  </si>
  <si>
    <t>表皮生長因子受體拮抗劑於阿茲海默症新藥開發之轉譯醫學研究_MOST103-2320-B-001-016-MY3</t>
  </si>
  <si>
    <t>台捷(CZ)國合計畫-建構脊索動物organizer的演化史:Wnt/β-catenin訊息傳遞在文昌魚早期胚層發育與胚胎背腹軸決定機制的功能研究_MOST104-2923-B-001-002-MY3</t>
  </si>
  <si>
    <t>斯德哥爾摩(Stockholm)</t>
  </si>
  <si>
    <t>淡水魚類酸鹼平衡及離子調節機制多樣性研究(兩岸合作研究)_MOST 104-2321-B-001-038-MY3</t>
  </si>
  <si>
    <t>斑馬魚ICAM-1在心室小樑發育及具有機械力傳導分子角色之功能性分析_NSC102-2628-B-001-001-MY3</t>
  </si>
  <si>
    <t>挪威(Norway)</t>
  </si>
  <si>
    <t>奧斯陸(Oslo)</t>
  </si>
  <si>
    <t>Hedgehog訊息對果蠅雌性生殖幹細胞-niche單位形成以及卵巢發育的調控_MOST104-2311-B-001-029-MY3</t>
  </si>
  <si>
    <t>魚類適應鹽度生理機制的新觀點-魚類適應鹽度生理機制的荷爾蒙調 控(1/3)_MOST104-2311-B-001-042-</t>
  </si>
  <si>
    <t>研究由ForkheadBoxClassO(FOXO)主導下決定神經細胞之時空命運的 調控機制_MOST104-2311-B-001-034</t>
  </si>
  <si>
    <t>嗅覺區域中介神經元嵌入神經迴路之分子機制_MOST104-2311-B-001-033-MY3</t>
  </si>
  <si>
    <t xml:space="preserve"> </t>
  </si>
  <si>
    <t>研發能量提升計畫-細胞與個體生物學研究所</t>
  </si>
  <si>
    <t>創新轉譯農學研究計畫</t>
  </si>
  <si>
    <t>墨爾本(Melbourne)</t>
  </si>
  <si>
    <t>宮崎(Miyazaki)</t>
  </si>
  <si>
    <t>法蘭克福(Frankfurt)</t>
  </si>
  <si>
    <t>書寫離散‧離散書寫：哈金個案研究_102-2410-H-001-079-MY3</t>
  </si>
  <si>
    <t>重探泛亞想像：達斯與印度離散_102-2410-H-001-083-MY2</t>
  </si>
  <si>
    <t>印尼(Indonesia)</t>
  </si>
  <si>
    <t>卡達(Qatar)</t>
  </si>
  <si>
    <t>自然法則：美國早期有機農業書寫_103-2410-H-001-101-MY3</t>
  </si>
  <si>
    <t>「貿易與」：WTO與國際法體系之互動_104-2410-H-001-087-MY2</t>
  </si>
  <si>
    <t>歐美研究所</t>
  </si>
  <si>
    <t>歐美研究所小計</t>
  </si>
  <si>
    <t>布宜諾斯艾利斯(Buenos Aires)</t>
  </si>
  <si>
    <t>卡達(Qatar)</t>
  </si>
  <si>
    <t>比利時(Belgium)</t>
  </si>
  <si>
    <t>兩岸當代的後現代主體:以拉岡理論為研究框架_MOST 103-2410-H-001-086-MY2</t>
  </si>
  <si>
    <t>道家的當代詮釋_MOST 103-2410-H-001-091-MY2</t>
  </si>
  <si>
    <t>中國文哲研究所小計</t>
  </si>
  <si>
    <t>中國文哲研究所</t>
  </si>
  <si>
    <t>赴日本東京蒐集研究資料</t>
  </si>
  <si>
    <t>芝加哥(Chicago,Illinois)</t>
  </si>
  <si>
    <t>赴日本東京蒐集資料</t>
  </si>
  <si>
    <t>英國(United Kingdom) 德國(Germany)</t>
  </si>
  <si>
    <t>台灣史研究所</t>
  </si>
  <si>
    <t>台灣史研究所小計</t>
  </si>
  <si>
    <t>台灣史研究所小計</t>
  </si>
  <si>
    <t>首爾(Seoul)</t>
  </si>
  <si>
    <t>仙台</t>
  </si>
  <si>
    <t>美國(U.S.A.) 加拿大(Canada)</t>
  </si>
  <si>
    <t>由遊廓重見近代澎湖社會：民地軍港城市的行政運作與買賣春業_MOST103-2410-H-001-022</t>
  </si>
  <si>
    <t>台灣地區社會變遷基本調查研究第一七（I-III）_MOST 104-2420-H-001-005-SS3</t>
  </si>
  <si>
    <t>國家、高等教育場域、與教學實踐：戰後台灣大專聯合考試的起源_MOST 103-2410-H-001-066-MY2</t>
  </si>
  <si>
    <t>台灣民間宗教的流動與跨界：民間信仰的「品味/論述」變遷考察_MOST 103-2410-H-001-102-MY2</t>
  </si>
  <si>
    <t>台灣年輕成人初婚(早婚）夫妻的擇偶過程、婚配模式以及婚姻生活：個人、家庭和文化之長期影響機制的探討_MOST 103-2410-H-001-065- MY3</t>
  </si>
  <si>
    <t>落霞與孤鶩、秋水共長天：青少年友敵關係同質性的考察與檢驗_MOST 103-2410-H-001-097-SS3</t>
  </si>
  <si>
    <t>建構水平連結：台灣去中心化的生產體制的技能形成_MOST 104-2410-H-001-060</t>
  </si>
  <si>
    <t>當代中國社會抗爭與國家治理：抗議事件新聞資料庫計畫_NSC 100-2628-H-001-006-MY4</t>
  </si>
  <si>
    <t>社會學研究所</t>
  </si>
  <si>
    <t>社會學研究所小計</t>
  </si>
  <si>
    <t>開普敦(Cope Town)</t>
  </si>
  <si>
    <t>蘇黎世(Zurich)</t>
  </si>
  <si>
    <t>波士頓(Boston,Massachuseetts)</t>
  </si>
  <si>
    <t>札幌(Sapporo)</t>
  </si>
  <si>
    <t>費城(Philadelphia,Pennsylvania)</t>
  </si>
  <si>
    <t>吉隆坡(Kuala Lumpur)</t>
  </si>
  <si>
    <t>尋找（東亞）和解共生的契機：探討超越國族現實的可能性_MOST 103-2410-H-001-100-MY3</t>
  </si>
  <si>
    <t>科技部103年度（第52屆）補助科學與技術人員國外短期研究經費</t>
  </si>
  <si>
    <t>103/07/16-104/07/09</t>
  </si>
  <si>
    <t>劍橋(Cambridge,Massachusetts)</t>
  </si>
  <si>
    <t>Madison</t>
  </si>
  <si>
    <t>103年度(52屆）補助科學與技術人員國外短期研究-李宗榮 103-2918-I-001-005</t>
  </si>
  <si>
    <t>103/08/15-104/07/14</t>
  </si>
  <si>
    <t>烏特列茲(Utrecht)</t>
  </si>
  <si>
    <t>全球化、中國因素、政經社會變遷、與社會抗爭：台灣與香港的比較_MOST 104-2410-H-001-075-MY2</t>
  </si>
  <si>
    <t>104/11/26-104/12/04</t>
  </si>
  <si>
    <t>聖塞巴斯坦(San Sebastian)</t>
  </si>
  <si>
    <t>語言學研究所</t>
  </si>
  <si>
    <t>語言學研究所小計</t>
  </si>
  <si>
    <t>語言學研究所小計</t>
  </si>
  <si>
    <t>夏威夷州(State of Hawaii)</t>
  </si>
  <si>
    <t>以語音語料庫為本的自動化語音變體研究_MOST103-2410-H-001-063-MY2</t>
  </si>
  <si>
    <t>四種印度東北藏緬語的基本語言結構之探究_100-2628-H-001-008-MY4</t>
  </si>
  <si>
    <t>表面特性對細胞行為的影響_MOST 103-2628-M-001 -003 -MY3</t>
  </si>
  <si>
    <t>電磁波在週期/非週期排列之奈/微米結構於液晶，準晶體，或非線性介質中傳播的理論模擬_MOST 103-2221-E-001 -011 -MY3</t>
  </si>
  <si>
    <t>物理性刺激對細胞運動影響的定量研究_MOST 103-2112-M-001 -019 -MY3</t>
  </si>
  <si>
    <t>以半導體量子井為增益介質研究表面電漿子受激輻射_MOST 103-2112-M-001 -037 -MY3</t>
  </si>
  <si>
    <t>三族氮化物奈米結構發光元件_MOST 103-2112-M-001 -023 -MY3</t>
  </si>
  <si>
    <t>整合型微流體三維細胞培養系統及光學觀測平台之開發_MOST 103-2113-M-001 -008 -MY3</t>
  </si>
  <si>
    <t>海參崴(Vladivostok)</t>
  </si>
  <si>
    <t>Synthesis of Large-Area 2D layered Materials and Their Heterostacking Structures_AOARD-134137</t>
  </si>
  <si>
    <t>發展應用於癌症研究之微流體多維度細胞培養分析平台_MOST 104-2221-E-001-015-MY3</t>
  </si>
  <si>
    <t>Type-II銻化鎵/砷化鎵奈米結構紅外線偵測器之研究及其在掃描放大熱影像之應用_NSC 102-2221-E-001 -032 -MY3</t>
  </si>
  <si>
    <t>非標定奈米金屬結構型態生物晶片表面靈敏度的探究與應用_MOST 104-2112-M-001-040-MY2</t>
  </si>
  <si>
    <t>應用科學研究中心</t>
  </si>
  <si>
    <t>應用科學研究中心小計</t>
  </si>
  <si>
    <t>應用科學研究中心小計</t>
  </si>
  <si>
    <t>應用科學研究中心</t>
  </si>
  <si>
    <t>丹佛(Denver,Colorado)</t>
  </si>
  <si>
    <t>聖荷西(San Jose,California)</t>
  </si>
  <si>
    <t>里斯本(Lisbon)</t>
  </si>
  <si>
    <t>聖地牙哥(San Diego,California)</t>
  </si>
  <si>
    <t>維也納(Vienna)</t>
  </si>
  <si>
    <t>耶路撒冷</t>
  </si>
  <si>
    <t>臺俄(RU)國合計畫－建模和物理特性：基於細化物納米晶矽基質的納米材料_MOST 104-2923-M-001 -001 -MY3</t>
  </si>
  <si>
    <t>表面電漿子共振顯微影像橢圓儀在生物檢測與綠能元件之應用_MOST 104-2112-M-001-009-MY2</t>
  </si>
  <si>
    <t>104/11/22-104/12/01</t>
  </si>
  <si>
    <t>政治學研究所</t>
  </si>
  <si>
    <t>人文社會科學研究中心小計</t>
  </si>
  <si>
    <t>政治學研究所小計</t>
  </si>
  <si>
    <t>氣候變遷研究聯盟 (Consortium for Climate ChangeStudy)-總計畫：氣候變遷驗室_MOST100-2119-M-001-029-MY5</t>
  </si>
  <si>
    <t>法國(France) 義大利(Italy)</t>
  </si>
  <si>
    <t>克羅埃西亞(Croatia)</t>
  </si>
  <si>
    <t>發表研究成果</t>
  </si>
  <si>
    <t>環境變遷研究中心小計</t>
  </si>
  <si>
    <t>環境變遷研究中心小計</t>
  </si>
  <si>
    <t>環境變遷研究中心</t>
  </si>
  <si>
    <t>氣候變遷研究聯盟 (Consortium for Climate ChangeStudy)-總計畫：氣候變遷驗室_MOST100-2119-M-001-029-MY5</t>
  </si>
  <si>
    <t>Breckenridge</t>
  </si>
  <si>
    <t>曼谷(Bangkok)</t>
  </si>
  <si>
    <t>布拉格(Prauge)</t>
  </si>
  <si>
    <t>氣膠與雲之交互作用：區域氣候變遷之關聯性_MOST 104-2111-M-001-010-</t>
  </si>
  <si>
    <t>發表研究成果</t>
  </si>
  <si>
    <t>舊金山(San Francisco,California)</t>
  </si>
  <si>
    <t>104/12/13-104/12/22</t>
  </si>
  <si>
    <t>舊金山(San Francisco,California) 洛杉磯(Los Angeles,California)</t>
  </si>
  <si>
    <t>本計畫將利用全球環流模式進行未來的氣候推估，包括颱風強度與個數、海溫與海平面的變化等等，同時將利用 TCCIP 以區域模式進行降尺度模擬所獲得之高解析度恆春地區未來氣象資訊，供其他子計畫使用。</t>
  </si>
  <si>
    <t>Breckenridge, Colorado</t>
  </si>
  <si>
    <t>New Orleans Santa Cruz</t>
  </si>
  <si>
    <t>環境變遷研究中心</t>
  </si>
  <si>
    <t>臺俄(RU)國合計畫－海綿和刺胞動物共生的藤壺（蔓足類，藤壺科，綿藤壺亞科）系統分類，分子演化及其與_NSC 103-2923-B-001-003-MY3</t>
  </si>
  <si>
    <t>以機械藤壺,生態生理學及轉錄體學之角度探討西太平洋潮間帶生物對海洋暖化所受之影響_MOST 103-2621-B-001-005-MY3</t>
  </si>
  <si>
    <t>104/08/27-104/09/07</t>
  </si>
  <si>
    <t>利物浦(Liverpool) 香港(Hong Kong)</t>
  </si>
  <si>
    <t>生物多樣性研究中心小計</t>
  </si>
  <si>
    <t>生物多樣性研究中心</t>
  </si>
  <si>
    <t>尼泊爾埋葬蟲的替代穩定態與艾里效應_MOST 103-2621-B-001-003-MY3</t>
  </si>
  <si>
    <t>前往北京參加第五屆中國動物行為學研討會與進行演講</t>
  </si>
  <si>
    <t>104/10/10-104/10/15</t>
  </si>
  <si>
    <t>北京(Beijing)</t>
  </si>
  <si>
    <t>研發能量提升計畫-生物多樣性研究中心</t>
  </si>
  <si>
    <t>使用多位點方法進行東亞蟹類比較親緣地理學研究：成體生境的特異性在塑造沿海動物遺傳結構中的作用_464013</t>
  </si>
  <si>
    <t>生物多樣性研究中心小計</t>
  </si>
  <si>
    <t>生物多樣性研究中心</t>
  </si>
  <si>
    <t>8/27-28前往香港大學進行行前會議</t>
  </si>
  <si>
    <t>重大疾病之新藥與疫苗研發計畫</t>
  </si>
  <si>
    <t>台拉維夫(Tel Aviv)</t>
  </si>
  <si>
    <t>健康雲跨領域研究計畫</t>
  </si>
  <si>
    <t>土耳其(Turkey)</t>
  </si>
  <si>
    <t>奧地利(Austria) 法國(France)</t>
  </si>
  <si>
    <t>基因體研究中心</t>
  </si>
  <si>
    <t>基因體研究中心小計</t>
  </si>
  <si>
    <t>巴爾的摩(Baltimore,Maryland)</t>
  </si>
  <si>
    <t>伊斯坦堡(Istanbul)</t>
  </si>
  <si>
    <t>利用特定轉錄因子轉分化纖維母細胞為功能性胰島細胞之研究_NSC102-2314-B-001-006-MY3</t>
  </si>
  <si>
    <t>亞特蘭大(Atlanta,Georgia)</t>
  </si>
  <si>
    <t>由單醣化血凝素蛋白疫苗的免疫鼠中發展廣效抗流感之中和性抗體(2/3)_MOST 104-2325-B-001-005</t>
  </si>
  <si>
    <t>參加會議並張貼海報</t>
  </si>
  <si>
    <t>利用神經母瘤細胞與阿滋海默症病人多功能幹細胞分化之神經細胞來探討神經節脂及岩藻醣的表現及生合成變異機制_MOST104-2321-B-001-071</t>
  </si>
  <si>
    <t>溫哥華(Vancouver)(10/16-04/30)</t>
  </si>
  <si>
    <t>新德里(New Delhi)</t>
  </si>
  <si>
    <t>華盛頓特區(Washington)</t>
  </si>
  <si>
    <t>Avastin、Humira、Erbitux及Heceptin抗體均相最佳化及SSE4抗體篩選_28A-981130-2C</t>
  </si>
  <si>
    <t>腺.酸激.於人類肺癌轉移機制探討與轉譯醫學之研究_NSC102-2320-B-001-027-MY3</t>
  </si>
  <si>
    <t>霍山石斛多醣及活性成分之化學結構研究(96年)_28T-940401-1CC</t>
  </si>
  <si>
    <t>全面性尋找與分析靈長類胚胎幹細胞在後轉錄過程中所產生的非線性RNA_MOST103-2628-B-001-001-MY4</t>
  </si>
  <si>
    <t>104/07/04-104/07/18</t>
  </si>
  <si>
    <t>維也納(Vienna) 巴黎(Paris)</t>
  </si>
  <si>
    <t>重大疾病之新藥與疫苗研發計畫</t>
  </si>
  <si>
    <t>與國外頂尖大學合作培訓博士後人員</t>
  </si>
  <si>
    <t>臺俄（RU）國合計畫-奈米粒子和癌細胞在超音波下的物理和化學的交互作用機制_NSC103-2923-M-001-004-MY3</t>
  </si>
  <si>
    <t>莫斯科(Moscow)</t>
  </si>
  <si>
    <t>基因體研究中心</t>
  </si>
  <si>
    <t>基因體研究中心小計</t>
  </si>
  <si>
    <t>相生</t>
  </si>
  <si>
    <t>赴日本兵庫縣SPring-8進行X光相關研究</t>
  </si>
  <si>
    <t>赴美國紐約Brookhaven National Laboratory (BNL)進行X光相關研究</t>
  </si>
  <si>
    <r>
      <t>研發能量提升計畫</t>
    </r>
    <r>
      <rPr>
        <sz val="9.5"/>
        <color indexed="8"/>
        <rFont val="Calibri"/>
        <family val="2"/>
      </rPr>
      <t>-</t>
    </r>
    <r>
      <rPr>
        <sz val="9.5"/>
        <color indexed="8"/>
        <rFont val="細明體"/>
        <family val="3"/>
      </rPr>
      <t>基因體研究中心</t>
    </r>
  </si>
  <si>
    <t>考察</t>
  </si>
  <si>
    <t>進修</t>
  </si>
  <si>
    <t>人文社會科學研究中心</t>
  </si>
  <si>
    <t>科技部人文及社會科學專題研究計畫調查研究資料整理與檢誤計畫：103至105年度部分_104-2420-H-001-004-MY3</t>
  </si>
  <si>
    <t>溫哥華(Vancouver)(05/01-10/15)</t>
  </si>
  <si>
    <t>西雅圖(Seattle,Washington)</t>
  </si>
  <si>
    <t>澳大利亞(Australia)</t>
  </si>
  <si>
    <t>網路拍賣制度的研究_103-2410-H-001-006-MY3</t>
  </si>
  <si>
    <t>墨西哥(Mexico)</t>
  </si>
  <si>
    <t>法律學研究所小計</t>
  </si>
  <si>
    <t>自由與民主在歐洲人權公約下的統合:歐洲人權保障之多階層秩序體系在Hans Kelsen框架觀點下的再詮釋_NSC102-2410-H-001-060-MY3</t>
  </si>
  <si>
    <t>應報、責任與人性尊嚴_MOST 103-2410-H-001-020-MY3</t>
  </si>
  <si>
    <t>獨立財產與資產分割：理論基礎與應用_MOST 104-2628-H-001-001-MY3</t>
  </si>
  <si>
    <t>愛丁堡(Edinburgh)</t>
  </si>
  <si>
    <t>無RGB-D攝影機使用下的深度及骨架影像之估測與其在動作辨識上之應用_MOST103-2221-E-001-026-MY2</t>
  </si>
  <si>
    <t>時間地點熱門程度預測及其應用於連鎖商店之新據點推薦_MOST104-2221-E-001-027-MY2</t>
  </si>
  <si>
    <t>以轉移學習進行跨資料領域之異質圖形辨識_MOST103-2221-E-001-021-MY2</t>
  </si>
  <si>
    <t>魁北克(Quebec)</t>
  </si>
  <si>
    <t>以視覺物件為基礎之多媒體巨量資料分析與其行動應用_MOST103-2221-E-001-007-MY2</t>
  </si>
  <si>
    <t>綠能無線，潛能無限:多用戶無線網路之同步訊息與電力傳輸_MOST104-2628-E-001-002-MY2</t>
  </si>
  <si>
    <t>拉斯維加斯</t>
  </si>
  <si>
    <t>資料驅動社會學習框架與解決方案_MOST103-2218-E-001-002-MY2</t>
  </si>
  <si>
    <t>數位典藏資料庫管理系統開發_100-000010</t>
  </si>
  <si>
    <t>參加會議：ISMIR 發表論文</t>
  </si>
  <si>
    <t>日內瓦(Geneva)</t>
  </si>
  <si>
    <t>計畫結餘款再運用-王鈺強老師</t>
  </si>
  <si>
    <t>Darmstadt</t>
  </si>
  <si>
    <t>我國新藥案源篩選與價值創造計畫_MOST103-2321-B-001-063</t>
  </si>
  <si>
    <t>參加夏威夷pacifichem會議，並發表口頭報告。</t>
  </si>
  <si>
    <t>低準確度DNA複製?如何催化非Watson-Crick鹼對_MOST103-2113-M-001-016-MY3蔡明道</t>
  </si>
  <si>
    <t>小細胞系統動態運作的分子機制與細胞分裂相關內膜蛋白及脂質特徵研究_NSC102-2311-B-001-020-MY3史有伶</t>
  </si>
  <si>
    <t>生物化學研究所小計</t>
  </si>
  <si>
    <t>生物化學研究所小計</t>
  </si>
  <si>
    <t>生物化學研究所</t>
  </si>
  <si>
    <t>化學研究所</t>
  </si>
  <si>
    <t>化學研究所小計</t>
  </si>
  <si>
    <t>濟州(Cheju)</t>
  </si>
  <si>
    <t>用先進生物物理顯微術繪製第一型核糖核酸聚合?奈米機器的無序單元和能量景觀之地圖_103-2113-M-001-014-MY3</t>
  </si>
  <si>
    <t>具有π-共軛系統之超分子組裝結構_103-2113-M-001-026-MY3</t>
  </si>
  <si>
    <t>新抗凝血製劑藥物的製程與分析方法研究_</t>
  </si>
  <si>
    <t>創新的催化和主族元素化學基於新Carbodicarbene和碳氫鍵活化_104-2628-M-001-005-MY4</t>
  </si>
  <si>
    <t>開發染料太陽電池應用於室內充電器_03T-1040420-1C</t>
  </si>
  <si>
    <t>參加2015 International Conference on Diamond and Carbon Materials研討會並發表論文</t>
  </si>
  <si>
    <t>104/09/03-104/09/12</t>
  </si>
  <si>
    <t>以冷凍電子顯微鏡重構技術來鑑定 腸病毒 71 型病毒顆粒上之抗原位點(2/3)_104-2321-B-001-019-</t>
  </si>
  <si>
    <t>π共軛智慧材料的分子設計及其在生物電子界面上的應用_104-2113-M-001-025-MY2</t>
  </si>
  <si>
    <t>研究神經退化性疾病中TDP-43蛋白質胜?片段之生物膜破壞與類普恩蛋白(prion-like)之特性_103-2113-M-001-010-MY3</t>
  </si>
  <si>
    <t>人文組年輕學者進修計畫</t>
  </si>
  <si>
    <t>巴爾的摩(Baltimore,Maryland)</t>
  </si>
  <si>
    <t>Pacific Grove</t>
  </si>
  <si>
    <t>PolyQ在果蠅視覺系統膠原細胞引起的功能失調之細胞與分子機制_MOST 103-2311-B-001-035-MY3</t>
  </si>
  <si>
    <t>都伯林(Dublin)</t>
  </si>
  <si>
    <t>神經退化疾病中形成纖維聚集的核醣核酸結合蛋白之結構研究_NSC 102-2311-B-001-021-MY3</t>
  </si>
  <si>
    <t>台日國合計畫-用多電極探研究神經類固醇在海馬迴神經迴路的作用_NSC 102-2923-B-001-003-MY3</t>
  </si>
  <si>
    <t>C53/C37與C82/C34/C31次蛋白於第三型核糖核酸轉錄之功能分析_MOST 103-2311-B-001-021-MY3</t>
  </si>
  <si>
    <t>神經元樹突內的細胞作用機制(2/5)_MOST 104-2745-B-001-001 -ASP</t>
  </si>
  <si>
    <t>脂肪細胞之介白素15調控自然殺手細胞之研究_NSC 102-2320-B-001-010-MY3</t>
  </si>
  <si>
    <t>探討小泛素在酵母菌減數分裂對DNA重組與染色體動態的功能_MOST 103-2311-B-001-031-MY3</t>
  </si>
  <si>
    <t>大腸桿菌核糖核酸分解器之組成及功能機制：缺氧與含氣下大腸桿菌生長之基因後轉錄調控機制_MOST 104-2311-B-001 -011 -MY3</t>
  </si>
  <si>
    <t>CTS複合體調控端粒酉每之 分子機制_MOST 103-2311-B-001-002-MY2</t>
  </si>
  <si>
    <t>維多利亞(Victoria)(05/01-10/15)</t>
  </si>
  <si>
    <t>分子生物研究所</t>
  </si>
  <si>
    <t>分子生物研究所小計</t>
  </si>
  <si>
    <t>Pacifichem 2015 國際大會</t>
  </si>
  <si>
    <t>生物醫學科學研究所</t>
  </si>
  <si>
    <t>生物醫學科學研究所小計</t>
  </si>
  <si>
    <t>阿拉伯芥DCL蛋白質在發育拮抗作用之研究_NSC 102-2628-B-001-005-MY3</t>
  </si>
  <si>
    <t>植化物cytopiloyne在調節胰島細胞之分子機制與其臨床前應用_MOST 103-2320-B-001-003-MY3</t>
  </si>
  <si>
    <t>臺法(FR)國合計畫-植物高溫逆境反應之轉錄後調控(HEAT-ADAPT)_MOST 104-2923-B-001-001-MY3</t>
  </si>
  <si>
    <t>台灣波蘭雙邊農業生技研討會_104-2911-I-001-532</t>
  </si>
  <si>
    <t>本研討會係由科技部與波蘭國家研究發展中心合作主辦於華沙舉行，由科技部委託本院農業生物科技研究中心施明哲特聘研究員擔任召集人領團至華沙參加該會。促進國內農業生技之國際合作，強化農業生技研究人員的國際接觸與視野及加深與歐盟國家技術交流合作機會。</t>
  </si>
  <si>
    <t>104/11/30-104/12/06</t>
  </si>
  <si>
    <t>建立高效代謝體學以及鑑定胜?受器之技術用於研究植物利用胜?傳遞系統免疫反應之機制1/2_MOST 104-2113-M-001-006</t>
  </si>
  <si>
    <t>真菌漆化酵素醣基化之功能研究及其應用_NSC 102-2628-B-001-002-MY3</t>
  </si>
  <si>
    <t>104/11/28-104/12/09</t>
  </si>
  <si>
    <t>波蘭(Poland) 美國(U.S.A.)</t>
  </si>
  <si>
    <t>華沙(Warsaw) 芝加哥(Chicago,Illinois)</t>
  </si>
  <si>
    <t>昭和草活性分離物對黑色素癌轉移動物實驗功效評估_生約字第1040451號</t>
  </si>
  <si>
    <t>研究植物倍半?化合物暨衍生物用於轉移性或化療藥抗性黑色素瘤之治療_MOST 103-2320-B-001-008-MY3</t>
  </si>
  <si>
    <t>研究成果發表壁報論文</t>
  </si>
  <si>
    <t>104/08/07-104/08/26</t>
  </si>
  <si>
    <t>波士頓(Boston,Massachuseetts) London, ON</t>
  </si>
  <si>
    <t>農業生物科技研究中心</t>
  </si>
  <si>
    <t>研發能量提升計畫-農業生物科技研究中心</t>
  </si>
  <si>
    <t>赴美國芝加哥大學進行研究交流以加速其創新轉譯農學研究計畫之進行，並赴波蘭協助本計畫之國際合作業務。</t>
  </si>
  <si>
    <t>華沙(Warsaw)</t>
  </si>
  <si>
    <t>Norwich</t>
  </si>
  <si>
    <t>倫敦(London) Norwich</t>
  </si>
  <si>
    <t>農業生物科技研究中心</t>
  </si>
  <si>
    <t>農業生物科技研究中心小計</t>
  </si>
  <si>
    <t>光州(Kwangju)</t>
  </si>
  <si>
    <t>Chania, Crete</t>
  </si>
  <si>
    <t>神戶(Kobe)</t>
  </si>
  <si>
    <t>PIAS1類小泛素化MeCP2的分子生物機制及其與雷特氏症候群的關係_MOST103-2320-B-001-004-MY3</t>
  </si>
  <si>
    <t>米蘭(Milan)(09/01-03/31)</t>
  </si>
  <si>
    <t>里爾</t>
  </si>
  <si>
    <t>海得拉巴(Hyderabad)</t>
  </si>
  <si>
    <t>歐亞美洲</t>
  </si>
  <si>
    <t>臺灣人體生物資料庫計畫</t>
  </si>
  <si>
    <t>探索在氫鍵網路中的質子轉移_MOST101-2113-M-001-023-MY3</t>
  </si>
  <si>
    <t>學研合作計畫－低維度奈米傳輸系統(3/3)_MOST 103-2120-M-001-003</t>
  </si>
  <si>
    <t>多功能幹細胞內主纖毛之生物物理特性分析_MOST 103-2112-M-001-039-MY3</t>
  </si>
  <si>
    <t>化學反應的空間取向與控制 I-III_MOST102-2119-M-001-002-MY3</t>
  </si>
  <si>
    <t>Criegee中間體之化學_MOST 103-2113-M-001-019-MY3</t>
  </si>
  <si>
    <t>水合陰離子團簇之光譜性質_MOST102-2113-M-001-012-MY3</t>
  </si>
  <si>
    <t>分子的雷射控制_MOST102-2112-M-001-003-MY3</t>
  </si>
  <si>
    <t>表面增強拉曼光譜之基礎研究與生醫應用-總計畫：表 增強拉曼光譜之基礎研究 生醫應用(2/4)_MOST 103-2628-M-001-002</t>
  </si>
  <si>
    <t>低維先進材料之激發態與光學能譜之計算研究_MOST102-2112-M-001-023-MY3</t>
  </si>
  <si>
    <t>（1）DNA四股的結構轉換與配體結合效應；（2）CARS影像研究脂蛋白與篩選癌症藥物_MOST 103-2113-M-001-017-MY3</t>
  </si>
  <si>
    <t>聖荷西(San Jose,California)</t>
  </si>
  <si>
    <t>基質輔助雷射脫附游離之機制研究_MOST 103-2113-M-001-011-MY3</t>
  </si>
  <si>
    <t>原子與分子科學研究所小計</t>
  </si>
  <si>
    <t>原子與分子科學研究所</t>
  </si>
  <si>
    <t>臺俄(RU)國合計畫－以分子束雷射游離光譜術探討有機金屬化合物在電子激發態的特性_MOST 104-2923-M-001-002-MY3</t>
  </si>
  <si>
    <t>鳳凰城(Phoenix,Arizona)</t>
  </si>
  <si>
    <t>農業生物科技研究中心小計</t>
  </si>
  <si>
    <t>使用於有機發光二極體熱活性型延遲螢光材料之設計合成與鑑定_103-2113-M-001-021-MY3</t>
  </si>
  <si>
    <t>福州(Fuzhou)</t>
  </si>
  <si>
    <t>細胞與個體生物學研究所小計</t>
  </si>
  <si>
    <t>細胞與個體生物學研究所</t>
  </si>
  <si>
    <t>探討酪氨酸磷酸?在表皮生因子受體調控發育與腫瘤發生之角色_NSC102-2311-B-001-027-MY3陳光超</t>
  </si>
  <si>
    <t>南京(Nanjing)</t>
  </si>
  <si>
    <t>深圳(Shenzhen)</t>
  </si>
  <si>
    <t>廣東</t>
  </si>
  <si>
    <t>陝西</t>
  </si>
  <si>
    <t>分子生物研究所</t>
  </si>
  <si>
    <t>分子生物研究所小計</t>
  </si>
  <si>
    <t>吉林</t>
  </si>
  <si>
    <t>長春(Changchun)</t>
  </si>
  <si>
    <t>重慶市</t>
  </si>
  <si>
    <t>重慶(Chongqing)</t>
  </si>
  <si>
    <t>嚴元照學行研究_MOST 104-2410-H-001-072-</t>
  </si>
  <si>
    <t>遼金元石刻與歷史研究（III）_MOST 103-2410-H-001-033-</t>
  </si>
  <si>
    <t>澳門(Macau)</t>
  </si>
  <si>
    <t>新見甲骨文字研究與增補_NSC 102-2410-H-001-092-MY3</t>
  </si>
  <si>
    <t>歷史語言研究所</t>
  </si>
  <si>
    <t>秦漢山川信仰研究_MOST 103-2410-H-001-046-MY3</t>
  </si>
  <si>
    <t>近代中國的檳榔文化：以地方志材料為主的探討（1200-1950 AD）_NSC 102-2410-H-001-042-MY3</t>
  </si>
  <si>
    <t>海南</t>
  </si>
  <si>
    <t>文革與去文革--仰光與澳門緬甸華人歌舞的身體展演與記憶政治_MOST 103-2628-H-001-004-MY2</t>
  </si>
  <si>
    <t>民族學研究所小計</t>
  </si>
  <si>
    <t>民族學研究所</t>
  </si>
  <si>
    <t>近代史研究所</t>
  </si>
  <si>
    <t>近代史研究所小計</t>
  </si>
  <si>
    <t>抗戰時期淪陷區的城市生活：以蘇州為例_NSC102-2410-H-001-032-MY2</t>
  </si>
  <si>
    <t>交流史視野下的蘇州片研究_MOST 104-2628-H-001-002-MY3</t>
  </si>
  <si>
    <t>易變環境中從眾心理的演化穩定分析_MOST 104-2410-H-001-008</t>
  </si>
  <si>
    <t>經濟研究所</t>
  </si>
  <si>
    <t>經濟研究所小計</t>
  </si>
  <si>
    <t>重探泛亞想像：達斯與印度離散_102-2410-H-001-083-MY2</t>
  </si>
  <si>
    <t>中文天主教文學的濫觴:羅明堅、徐光啟與王徵的詩曲初探_MOST 103-2410-H-001-073-MY3</t>
  </si>
  <si>
    <t>明清之際瞿式耜未刊稿之研究_MOST 103-2410-H-001-072-</t>
  </si>
  <si>
    <t>赴大陸上海蒐集資料</t>
  </si>
  <si>
    <t>兼採漢宋的馬其昶[尚書]學_MOST 103-2410-H-001-085-MY2</t>
  </si>
  <si>
    <t>上海市 江蘇</t>
  </si>
  <si>
    <t>上海(Shanghai) 南京(Nanjing)</t>
  </si>
  <si>
    <t>中國文哲研究所</t>
  </si>
  <si>
    <t>中國文哲研究所小計</t>
  </si>
  <si>
    <t>台灣史研究所</t>
  </si>
  <si>
    <t>台灣史研究所小計</t>
  </si>
  <si>
    <t>落霞與孤鶩、秋水共長天：青少年友敵關係同質性的考察與檢驗_MOST 103-2410-H-001-097-SS3</t>
  </si>
  <si>
    <t>制度轉型與台灣企業網絡的動態演變_NSC 102-2410-H-001-050-MY3</t>
  </si>
  <si>
    <t>赴中國大陸北京參與中國社科院所舉辦之「第三屆中國企業家研究研討會」，並於會後進行資料收集。</t>
  </si>
  <si>
    <t>社會學研究所</t>
  </si>
  <si>
    <t>社會學研究所小計</t>
  </si>
  <si>
    <t>山東</t>
  </si>
  <si>
    <t>四川黑水縣藏語研究_MOST104-2410-H-001-067-MY3</t>
  </si>
  <si>
    <t>語言學研究所小計</t>
  </si>
  <si>
    <t>環境變遷研究中心小計</t>
  </si>
  <si>
    <t>環境變遷研究中心</t>
  </si>
  <si>
    <t>生物多樣性研究中心小計</t>
  </si>
  <si>
    <t>生物多樣性研究中心</t>
  </si>
  <si>
    <t>探討streptothricin F生物合成與擴充以streptothricin F為基礎的分子庫_NSC102-2311-B-001-028-MY3</t>
  </si>
  <si>
    <t>克雷伯氏桿菌莢膜多醣疫苗最佳化組成探討(2/3)_MOST104-2325-B-001-004</t>
  </si>
  <si>
    <t>參加會議及發表論文</t>
  </si>
  <si>
    <t>104/09/27-104/10/10</t>
  </si>
  <si>
    <t>Marbella</t>
  </si>
  <si>
    <t>微RNA於B細胞分化之功能性研究_NSC100-2628-B-001-015-MY4</t>
  </si>
  <si>
    <r>
      <rPr>
        <sz val="10"/>
        <color indexed="8"/>
        <rFont val="細明體"/>
        <family val="3"/>
      </rPr>
      <t>出席</t>
    </r>
    <r>
      <rPr>
        <sz val="10"/>
        <color indexed="8"/>
        <rFont val="Calibri"/>
        <family val="2"/>
      </rPr>
      <t>TOLL2015</t>
    </r>
    <r>
      <rPr>
        <sz val="10"/>
        <color indexed="8"/>
        <rFont val="細明體"/>
        <family val="3"/>
      </rPr>
      <t>國際會議，以</t>
    </r>
    <r>
      <rPr>
        <sz val="10"/>
        <color indexed="8"/>
        <rFont val="Calibri"/>
        <family val="2"/>
      </rPr>
      <t>poster</t>
    </r>
    <r>
      <rPr>
        <sz val="10"/>
        <color indexed="8"/>
        <rFont val="細明體"/>
        <family val="3"/>
      </rPr>
      <t>發表研究成果</t>
    </r>
  </si>
  <si>
    <t>民主建基的共同體_104-2410-H-001-048-MY3</t>
  </si>
  <si>
    <t>香港</t>
  </si>
  <si>
    <t>化學研究所小計</t>
  </si>
  <si>
    <t>化學研究所</t>
  </si>
  <si>
    <r>
      <t>　　　　　　　    　  　 中華民國　105</t>
    </r>
    <r>
      <rPr>
        <sz val="10"/>
        <color indexed="8"/>
        <rFont val="新細明體"/>
        <family val="1"/>
      </rPr>
      <t>　年度</t>
    </r>
  </si>
  <si>
    <t>打造世界級蛋白質研究重鎮計畫</t>
  </si>
  <si>
    <t>科研環境領航計畫-化學研究所</t>
  </si>
  <si>
    <t>受邀參加TPP相關研討會</t>
  </si>
  <si>
    <t>105/06/30-105/07/03</t>
  </si>
  <si>
    <t>參加美國癌症中心CPTAC 3.0 Kick-Off Meeting (由美國NCI國家癌症中心單位邀請，代表共同參加美國癌症計畫之聯合會議)</t>
  </si>
  <si>
    <t>105/10/11-105/10/16</t>
  </si>
  <si>
    <t>參與美國癌症中心(NCI)所執行之CPTAC計劃進度工作會報與研習會，目的為學習分析平台與技術交流，期望應用在目前執行之台灣蛋白質體計劃(TPP)</t>
  </si>
  <si>
    <t>赴泰國芭達雅參加PERCH-CIC Congress IX會議。</t>
  </si>
  <si>
    <t>105/06/26-105/06/28</t>
  </si>
  <si>
    <t>芭達雅(Pattaya)</t>
  </si>
  <si>
    <t>The Japanese Proteomics Society (JPrOS, Formerly JHUPO)</t>
  </si>
  <si>
    <t>105/07/27-105/07/30</t>
  </si>
  <si>
    <t>打造世界級蛋白質研究重鎮計畫 出席質譜領域最重要的年會，學習質譜最新發展技術與流程。</t>
  </si>
  <si>
    <t>105/05/31-105/06/11</t>
  </si>
  <si>
    <t>科研環境領航計畫-生物化學研究所</t>
  </si>
  <si>
    <t>此會議為全球最大的質譜儀相關研究之國際會議，參加此會議能夠接觸到世界最先端的質譜最新研究方法，增強本研究團隊於質譜研究上的研究實力，並且了解目前以質譜方法來進行生物標記開發的研究團隊最新的研究成果。</t>
  </si>
  <si>
    <t>105/06/04-105/06/10</t>
  </si>
  <si>
    <t>San Antonio</t>
  </si>
  <si>
    <t>參加 XXVIIth International Conference on Magnetic Resonance in Biological Systems (ICMRBS) 並發表研究成果海報</t>
  </si>
  <si>
    <t>105/08/20-105/08/27</t>
  </si>
  <si>
    <t>美國質譜學會主辦之年度質譜主題研討會乃為質譜分析研究領域之重要盛事，會議重點內容包含：質譜設備最新技術新知、質譜儀技術應用於各領域之近期發展，其中利用質譜儀技術應用於蛋白質研究領域為本次參與會議的重要目標，期望透過此重要國際學術會議快速吸取來自各國頂尖研究實驗室的重要技術發展概況。</t>
  </si>
  <si>
    <t>105/06/03-105/06/14</t>
  </si>
  <si>
    <t>參加12th International Conference on Biology and Synchrotron Radiation</t>
  </si>
  <si>
    <t>105/08/18-105/08/27</t>
  </si>
  <si>
    <t>帕洛阿爾托(Palo Alto,California)</t>
  </si>
  <si>
    <t>出席6th International Conference on Structural Biology發表現階段結構學部分成果,並尋求國際間技術合作以及新知分享.</t>
  </si>
  <si>
    <t>105/08/20-105/08/29</t>
  </si>
  <si>
    <t>紐奧良(New Orleans, Louisiana)</t>
  </si>
  <si>
    <t>參加16th IUBMB Conference in Canada</t>
  </si>
  <si>
    <t>105/07/17-105/07/23</t>
  </si>
  <si>
    <t>參加 The 27th International Conference on Magnetic Resonance in Biological Systems.</t>
  </si>
  <si>
    <t>105/08/21-105/08/28</t>
  </si>
  <si>
    <t>受邀參加FASEB Conference 於蛋白磷酸酶主題領域發表"Structural analysis of PTPN3-p38gamma complex by a hybrid method"</t>
  </si>
  <si>
    <t>105/07/16-105/07/25</t>
  </si>
  <si>
    <t>Steamboat Springs</t>
  </si>
  <si>
    <t>DIA為全球性科學發展溝通組織，2016年度會議匯集世界各地跨學科專家(涵蓋產業界、學術界、政府機關、醫療機關)等就涉及各學科與醫療、保健、藥物等議題進行探討。TPP執行與癌症及藥物開發相關研究計畫，擬申請出席此會議了解各國在此領域之發展方向，期台灣蛋白質計畫隨時掌控全球健康與藥物開發研究動向。</t>
  </si>
  <si>
    <t>105/06/25-105/07/02</t>
  </si>
  <si>
    <t>歐洲結晶學會議是在未舉辦IUCr聯合會議的年度由歐洲結晶學會每年所與辦的學術會議，本會議著重於與結晶學相關研究之科學會議，包含小分子的化合物、生物巨分子與新穎的同步輻射光源等議題，為蛋白質結構、蛋白質藥物或小分子藥物等研究領域重要之年度國際研討會。</t>
  </si>
  <si>
    <t>105/08/27-105/09/08</t>
  </si>
  <si>
    <t>學術會議</t>
  </si>
  <si>
    <t>105/07/30-105/08/04</t>
  </si>
  <si>
    <t>曼徹斯特(Manchester)</t>
  </si>
  <si>
    <t>育成中心計畫</t>
  </si>
  <si>
    <t>育成中心計畫-基因體研究中心</t>
  </si>
  <si>
    <t>BIO是全球最大的生技展，BIC可獲得生技群聚效應的未來趨勢。台灣生技論壇，是宣傳BIC與尋求合作的機會。BTC海外座談會可提供聯繫海外生技達人、研擬生技發展策略與獲得BIC及NBRP創服育成中心發展方向討論機會。</t>
  </si>
  <si>
    <t>105/06/03-105/06/12</t>
  </si>
  <si>
    <t>接受補助及委託計畫</t>
  </si>
  <si>
    <t>二次多項式茱利亞集退化之研究(陳怡全)_MOST104-2115-M-001-007-</t>
  </si>
  <si>
    <t>參加「The Dynamics of Complex Systems: A meeting in honour of the 60th birthday of Robert MacKay FRS 」</t>
  </si>
  <si>
    <t>105/05/16-105/05/22</t>
  </si>
  <si>
    <t>Conventry</t>
  </si>
  <si>
    <t>受邀參加International meeting on numerical semigroups with applications</t>
  </si>
  <si>
    <t>105/06/30-105/07/17</t>
  </si>
  <si>
    <t>Levico Terme</t>
  </si>
  <si>
    <t>Pavlov 方程的初始值問題 - II(吳德琪)_MOST104-2115-M-001-002-</t>
  </si>
  <si>
    <t>受邀參加「NSF/CBMS Regional Research Conference on Discrete Painlevé Equations」</t>
  </si>
  <si>
    <t>105/05/15-105/05/22</t>
  </si>
  <si>
    <t>Edinburg, Texas</t>
  </si>
  <si>
    <t>模型式的反分圓岩澤理論(謝銘倫)_MOST103-2115-M-002-012-MY5</t>
  </si>
  <si>
    <t>受邀參加 Galois Representations and Automorphic Forms</t>
  </si>
  <si>
    <t>105/08/13-105/08/21</t>
  </si>
  <si>
    <t>Bedloew</t>
  </si>
  <si>
    <t>可移動式奈米線電晶體感測器對生物功能在分子等級之研究-以FET-AFM偵測F1-ATPase轉動(子計畫二)(3/3)_MOST105-2627-M-001-001</t>
  </si>
  <si>
    <t>陳啟東105年09月23日至105年10月05日赴西臘雅典出席「6th International Conference on Materials and Applications for Sensors and Transducers(IC-MAST)」會議，並發表論文。</t>
  </si>
  <si>
    <t>105/09/29-105/10/06</t>
  </si>
  <si>
    <t>雅典(Athens)</t>
  </si>
  <si>
    <t>於2016-07-24至2016-07-29赴美國 Stonehill College in Easton MA United States參加Gordon Research Conference 會議。</t>
  </si>
  <si>
    <t>105/07/22-105/07/30</t>
  </si>
  <si>
    <t>伊斯頓</t>
  </si>
  <si>
    <t>赴新加坡參加BioImage Informatics Conference 會議</t>
  </si>
  <si>
    <t>105/10/09-105/10/13</t>
  </si>
  <si>
    <t>微陣列X光源快速相位對比X光成像(2/3)_MOST105-2119-M-001-007</t>
  </si>
  <si>
    <t>105/08/16-105/09/17</t>
  </si>
  <si>
    <t>Menlo Park, CA</t>
  </si>
  <si>
    <t>參加 20th International Vacuum Congress (IVC-20)並發表論文。</t>
  </si>
  <si>
    <t>Symposium on Quantum Materials Synthesis: Grand Challenges and Opportunitie</t>
  </si>
  <si>
    <t>105/08/08-105/09/03</t>
  </si>
  <si>
    <t>紐約市(New York,New York) New Jersey</t>
  </si>
  <si>
    <t>熱電隨身自充電源開發以為行動電子裝置之應用(2/3)_MOST105-2119-M-001-008</t>
  </si>
  <si>
    <t>陳洋元105年10月03日至105年10月06日赴印尼雅加達出席「The 4th International Conference on Sustainable Energy Engineering and Application (ICSEEA 2016)」會議，並受邀演講。</t>
  </si>
  <si>
    <t>105/10/03-105/10/06</t>
  </si>
  <si>
    <t>雅加達(Jakarta)</t>
  </si>
  <si>
    <t>奈米科技創新應用規劃推動計畫_MOST105-2119-M-001-011</t>
  </si>
  <si>
    <t>the call consortium recommends Call 2016 pre-proposals to full proposal stage;the WG discusses the preparation of the Call 2017;the WG discusses additional joint activities</t>
  </si>
  <si>
    <t>105/09/11-105/09/16</t>
  </si>
  <si>
    <t>參加The XVIIth International Congress on Rheology (ICR2016)會議，並發表論文</t>
  </si>
  <si>
    <t>105/08/07-105/08/16</t>
  </si>
  <si>
    <t>前往南韓濟州島受邀出席「第二屆功能性材料進展國際會議」並發表論文</t>
  </si>
  <si>
    <t>105/08/06-105/08/09</t>
  </si>
  <si>
    <t>受邀前往英國牛津大學出席「X-Ray Microscopy Conference 2016」並發表演說</t>
  </si>
  <si>
    <t>105/08/15-105/08/23</t>
  </si>
  <si>
    <t>參加DEP2016 Conference並成邀請講者。</t>
  </si>
  <si>
    <t>105/07/11-105/07/20</t>
  </si>
  <si>
    <t>105/08/12-105/11/05</t>
  </si>
  <si>
    <t>Menlo Park, California 帕洛阿爾托(Palo Alto,California) Indian Wells, California</t>
  </si>
  <si>
    <t>赴韓國蔚山UNIST大學參加“The3rd Asia-Pacific Regional Workshop for Complex Non-Equilibrium Systems”會議</t>
  </si>
  <si>
    <t>105/05/18-105/05/22</t>
  </si>
  <si>
    <t>蔚山(Ulsan)</t>
  </si>
  <si>
    <t>楊舜閔105年03月31日起至105年04月11日前往奧地利參加「9TH ASIA NANOTECH CAMP」。</t>
  </si>
  <si>
    <t>105/03/31-105/04/11</t>
  </si>
  <si>
    <t>Krems</t>
  </si>
  <si>
    <t>105/04/02-105/04/09</t>
  </si>
  <si>
    <t>105/03/01-105/04/01</t>
  </si>
  <si>
    <t>理論探討高溫超導體的電荷不均勻態與pseudogap態_MOST104-2112-M-001-005</t>
  </si>
  <si>
    <t>SNS:new experimental methods and experiments under extreme conditions,and the discovery and design of novel superconductors with higher transition temperatures.FFLO physics.</t>
  </si>
  <si>
    <t>105/06/18-105/06/26</t>
  </si>
  <si>
    <t>史圖佳特(Stuttgart) 德勒斯登(Dresden)</t>
  </si>
  <si>
    <t>台灣微中子實驗-以超低能高純鍺探測器研究微中子物理與找尋暗物質及-製作嶄新技術的薄表面P-型點極高純鍺探測器_MOST104-2112-M-001-038-MY3</t>
  </si>
  <si>
    <t>105/06/23-105/07/12</t>
  </si>
  <si>
    <t>105/03/03-105/03/14</t>
  </si>
  <si>
    <t>105/06/19-105/07/02</t>
  </si>
  <si>
    <t>新瀉(Niigata)</t>
  </si>
  <si>
    <t>可移動開口漏斗之顆粒流與堵塞研究_MOST104-2112-M-001-046</t>
  </si>
  <si>
    <t>於2016-05-19至05-22赴韓國Ulsan(蔚山)參加「The 3rd Asia-Pacific Regional Workshop for Complex Non-Equilibrium Systems」會議，並發表演講。</t>
  </si>
  <si>
    <t>105/05/19-105/05/22</t>
  </si>
  <si>
    <t>暗物質和微中子物理之唯象研究_MOST104-2112-M-001-001-MY3</t>
  </si>
  <si>
    <t>阮自強研究員7月6日至16日止，前往越南歸仁(Quy Nhon)參加「基礎科學與社會研討會」暨合辦並主持「PASCOS 2016:第22屆未來粒子玄論宇宙學國際研討會」。</t>
  </si>
  <si>
    <t>105/07/04-105/08/08</t>
  </si>
  <si>
    <t>歸仁(Quy Nhon) 順化</t>
  </si>
  <si>
    <t>ANFoS is an annual meeting, wherein experts from each fields of ANF member economies to update the developments on Nanotechnology and related issues.</t>
  </si>
  <si>
    <t>105/07/12-105/07/15</t>
  </si>
  <si>
    <t>104/11/15-105/07/31</t>
  </si>
  <si>
    <t>105/07/22-105/08/01</t>
  </si>
  <si>
    <t>整合結構生物學與奈微技術以探討粒線體異常相關疾病及開發創新診療策略-應用奈米分子壩系統富集/分離粒線體及核醣體於高分辨立體_MOST104-2627-M-001-007</t>
  </si>
  <si>
    <t>赴瑞典Gothenburg參加Biosensors 2016並發表論文。</t>
  </si>
  <si>
    <t>105/05/23-105/06/07</t>
  </si>
  <si>
    <t>Gothenburg</t>
  </si>
  <si>
    <t>林唯芳教授受邀參與Asia Nano Forum Summit 2016活動。</t>
  </si>
  <si>
    <t>104/08/01-105/07/31</t>
  </si>
  <si>
    <t>105/02/01-105/07/31</t>
  </si>
  <si>
    <t>105/07/16-105/07/23</t>
  </si>
  <si>
    <t>雪菲爾（Sheffield）</t>
  </si>
  <si>
    <t>國立交通大學電子物理學系黃凱風教授受邀參與Asia Nano Forum Summit 2016活動。</t>
  </si>
  <si>
    <t>李湘楠(105)年7月25日起至同年7月30日止，前往日本京都出席「第14屆介子核子物理及核子結構國際研討會 」並發表學術論文演講。</t>
  </si>
  <si>
    <t>105/07/25-105/08/08</t>
  </si>
  <si>
    <t>複雜系統中因果關係及關聯性等性質的探討_MOST104-2112-M-001-028</t>
  </si>
  <si>
    <t>參加 2016 Asia Pacific Econophysics Conference 並口頭報告論文 "Models of Consensus Formation based on Quantum Walk"。</t>
  </si>
  <si>
    <t>105/05/12-105/06/05</t>
  </si>
  <si>
    <t>低維度系統在奈米尺寸下的光電導與催化效應_MOST104-2112-M-001-017-MY3</t>
  </si>
  <si>
    <t>赴日本東京參加The 16th JapanKoreaTaiwan Workshop on Strongly Correlated Electron Systems並發表論文。</t>
  </si>
  <si>
    <t>105/02/18-105/02/21</t>
  </si>
  <si>
    <t>高速高力靈敏度原子力顯微術之開發及生物課題之應用-高速高力靈敏度原子力顯微術之開發及生物課題之應用(總計畫暨子計畫一、三)_MOST104-2627-M-001-005</t>
  </si>
  <si>
    <t>本所研究副技師胡恩德先生擬於105年6月12日至6月15日赴瑞士伯恩參與ISPM 2016研討會並發表論文。</t>
  </si>
  <si>
    <t>105/06/11-105/08/31</t>
  </si>
  <si>
    <t>瑞士(Switzerland) 丹麥(Denmark) 美國(U.S.A.)</t>
  </si>
  <si>
    <t>伯恩(Bern) 洛桑 哥本哈根(Copenhagen) 聖他克拉拉(Santa Clara,California)</t>
  </si>
  <si>
    <t>105/03/29-105/04/05</t>
  </si>
  <si>
    <t>熱電隨身自充電源開發以為行動電子裝置之應用(1/3)_MOST104-2119-M-001-013</t>
  </si>
  <si>
    <t>陳洋元105年02月19日至105年03月02日赴美國出席「EMN Meeting on Thermoelectric Materials(TM2016)」會議，並發表論文。</t>
  </si>
  <si>
    <t>105/02/19-105/03/02</t>
  </si>
  <si>
    <t>特聘研究員吳茂昆先生擬於105年5月15日至5月19日前往伊朗德黑蘭出席“International Forum on Nano Olympiad and Nano Certification”會議</t>
  </si>
  <si>
    <t>105/05/15-105/05/19</t>
  </si>
  <si>
    <t>德黑蘭(Tehran)</t>
  </si>
  <si>
    <t>前往美國參加2016年美國物理年會(March meeting of American Physical Society)及University of Binghamton進行研究</t>
  </si>
  <si>
    <t>105/03/13-105/03/23</t>
  </si>
  <si>
    <t>巴爾的摩(Baltimore,Maryland) Binghamton, NY</t>
  </si>
  <si>
    <t>104/11/02-105/01/03</t>
  </si>
  <si>
    <t>赴河內「VIETNAM ACADEMY OF SCIENCE AND TECHNOLOGY INSTITUTB OF PHYSICS」進行學術研究</t>
  </si>
  <si>
    <t>104/12/29-105/01/09</t>
  </si>
  <si>
    <t>104/10/17-105/01/07</t>
  </si>
  <si>
    <t>李尚凡105年01月10日至105年01月17日赴美國聖地牙哥出席「MMM Intermag 2016」會議，並發表論文。</t>
  </si>
  <si>
    <t>105/01/10-105/01/17</t>
  </si>
  <si>
    <t>B介子三體衰變的直接CP破壞及核子海夸克的味不對稱_MOST104-2112-M-001-022</t>
  </si>
  <si>
    <t>鄭海揚德國巴特洪內夫(Bad Honnef)參加「非輕子B衰變的未來挑戰國際研討會:理論與實驗」並發表學術論文演講</t>
  </si>
  <si>
    <t>105/02/08-105/02/14</t>
  </si>
  <si>
    <t>Bad Honnef (巴特洪內夫)</t>
  </si>
  <si>
    <t>李湘楠(105)年1月30日起至同年2月4日止，南韓「粒子物理、弦論及宇宙學聯合研討會」</t>
  </si>
  <si>
    <t>105/01/30-105/02/04</t>
  </si>
  <si>
    <t>江原Gangwon</t>
  </si>
  <si>
    <t>赴新加坡出席「BIT’s 6th Annual World Congress of Nano Science &amp; Technology-2016 (Nano S&amp;T-2016)」國際研討會</t>
  </si>
  <si>
    <t>105/10/25-105/10/30</t>
  </si>
  <si>
    <t>本所副研究員王嵩銘博士擬於2016年1月10日至6月5日止赴於「歐洲粒子物理研究中心」（CERN）從事實驗研究工作。</t>
  </si>
  <si>
    <t>105/01/10-105/06/05</t>
  </si>
  <si>
    <t>探討巨Rashba與鐵電Rashba半導體電子結構與物理特性_MOST104-2112-M-001-015-MY3</t>
  </si>
  <si>
    <t>赴美國巴爾的摩參加APS March Meeting 2016並發表論文。</t>
  </si>
  <si>
    <t>105/03/13-105/03/19</t>
  </si>
  <si>
    <t>美國物理年會</t>
  </si>
  <si>
    <t>105/03/13-105/03/20</t>
  </si>
  <si>
    <t>2016 APS March meeting</t>
  </si>
  <si>
    <t>105/03/08-105/03/21</t>
  </si>
  <si>
    <t>單原子離子源的聚焦離子束系統開發(1/3)_MOST105-2119-M-001-015</t>
  </si>
  <si>
    <t>赴美國納許維爾(Nashville, Tennessee)參加AVS 63th International Symposium &amp; Exhibition並發表論文。</t>
  </si>
  <si>
    <t>105/11/05-105/11/14</t>
  </si>
  <si>
    <t>納許維爾(Nashvill, Tennessee)</t>
  </si>
  <si>
    <t>模組化開放平台原子力顯微鏡之開發_MOST105-2221-E-001-005</t>
  </si>
  <si>
    <t>105/10/22-105/10/31</t>
  </si>
  <si>
    <t>波特蘭(Portland, Oregon)</t>
  </si>
  <si>
    <t>ATLAS實驗-ATLAS 實驗 NSW探測器升級與新物理現象搜尋_MOST104-2112-M-001-025-MY3</t>
  </si>
  <si>
    <t>從事ATLAS實驗工作</t>
  </si>
  <si>
    <t>105/01/01-105/12/31</t>
  </si>
  <si>
    <t>105/12/12-105/12/20</t>
  </si>
  <si>
    <t>哥斯大黎加(Costa Rica)</t>
  </si>
  <si>
    <t>哥斯大黎加</t>
  </si>
  <si>
    <t>105/11/25-105/12/10</t>
  </si>
  <si>
    <t>高速高力靈敏度原子力顯微術之開發及生物課題之應用-高速高力靈敏度原子力顯微術之開發及生物課題之應用(總計畫暨子計畫一、三)_MOST105-2627-M-001-002</t>
  </si>
  <si>
    <t>105/10/04-105/10/07</t>
  </si>
  <si>
    <t>Kanazawa</t>
  </si>
  <si>
    <t>過渡金屬硫化物中金屬離子空穴與物性之關聯研究_MOST105-2112-M-001-006-MY3</t>
  </si>
  <si>
    <t>天文及天文物理研究所研究員王明杰先生擬於105年10月9日至10月16日前往澳洲墨爾本出席“EMN Meeting on Alloys and Compounds Conference 2016”。</t>
  </si>
  <si>
    <t>105/10/09-105/10/16</t>
  </si>
  <si>
    <t>腫瘤血管新生之X光立體顯微成像及分析_MOST105-2112-M-001-020-MY3</t>
  </si>
  <si>
    <t>出席與辦理「HPIB-2016-International Workshop &amp; Seminar」會議</t>
  </si>
  <si>
    <t>105/09/29-105/10/12</t>
  </si>
  <si>
    <t>Bordeaux 波爾多</t>
  </si>
  <si>
    <t>巫英賓先生愛爾蘭出席「The 20th International Conference on Miniaturized Systems for Chemistry and Life Sciences」會議，並發表論文。</t>
  </si>
  <si>
    <t>105/10/08-105/10/18</t>
  </si>
  <si>
    <t>以一維約瑟夫森結陣列研究量子真空輻射_MOST104-2112-M-001-016-MY3</t>
  </si>
  <si>
    <t>陳啟東105年09月04日至108年09月08日赴日本出席「The 3rd Joint Symposium of NTUT, NTNU and OPU on Chemistry」會議，並發表論文。</t>
  </si>
  <si>
    <t>105/09/04-105/09/08</t>
  </si>
  <si>
    <t>105/08/21-105/08/26</t>
  </si>
  <si>
    <t>赴韓國濟州參加IUPAC-PSK40會議</t>
  </si>
  <si>
    <t>105/10/05-105/10/08</t>
  </si>
  <si>
    <t>本組派遣博士兼任助理連翌翔自2016年10月1日起 至2016年11月1日前往瑞士日內瓦之『歐洲粒子物理研究中心』（European Organization for Nuclear Research，以下簡稱CERN）從事研究工作。</t>
  </si>
  <si>
    <t>105/10/01-105/11/01</t>
  </si>
  <si>
    <t>赴法國出席「HPIB-2016 - International Workshop &amp; Seminar」會議</t>
  </si>
  <si>
    <t>105/09/29-105/10/08</t>
  </si>
  <si>
    <t>Bordeaux</t>
  </si>
  <si>
    <t>105/09/25-105/10/07</t>
  </si>
  <si>
    <t>理論研究拓樸材料及異質介面物理-理論研究拓樸材料 異質介面物理_MOST103-2119-M-001-011-MY2</t>
  </si>
  <si>
    <t>發表論文並與當地研究人員進行研究討論。</t>
  </si>
  <si>
    <t>105/08/19-105/08/30</t>
  </si>
  <si>
    <t>赴美國納許維爾(Nashville, Tennessee)參加AVS 63rd International Symposium &amp; Exhibition並發表論文。</t>
  </si>
  <si>
    <t>105/11/05-105/11/18</t>
  </si>
  <si>
    <t>納許維爾(Nashvill, Tennessee) 柏克萊(Brkeley, California)</t>
  </si>
  <si>
    <t>赴日內瓦(CERN)研究</t>
  </si>
  <si>
    <t>The topics of this conference are directly relevant for Prof. Chung's research on quantum phase transitions in strongly correlated electron systems.</t>
  </si>
  <si>
    <t>105/08/09-105/08/16</t>
  </si>
  <si>
    <t>研究員黃英碩先生擬於105年11月05日至105年11月18日赴美國納許維爾(Nashville, Tennessee)參加AVS 63rd International Symposium &amp; Exhibition並發表論文。</t>
  </si>
  <si>
    <t>於2016-11-13至2016-11-19赴舊金山參加「2016 AIChE Annual Meeting」會議並發表論文，於2016-11-20至2016-11-22赴波特蘭參加「69th Annual Meeting of the APS Division of Fluid Dynamics」會議並發表論文</t>
  </si>
  <si>
    <t>105/11/12-105/11/28</t>
  </si>
  <si>
    <t>波特蘭(Portland, Oregon) 舊金山(San Francisco,California)</t>
  </si>
  <si>
    <t>105/06/08-105/06/14</t>
  </si>
  <si>
    <t>奧地利(Austria) 德國(Germany) 荷蘭(Netherlands)</t>
  </si>
  <si>
    <t>維也納(Vienna) 慕尼黑(Munich) 阿姆斯特丹(Amsterdam)</t>
  </si>
  <si>
    <t>應邀出席The Hebrew University of Jerusalem於2016年9月25-28日舉辦的年度學術研討會 First vs. second language learning: From neurobiology to cognition，代表我方團隊與該研究成員進行交流，並洽談學術合作事宜</t>
  </si>
  <si>
    <t>105/09/24-105/09/30</t>
  </si>
  <si>
    <t>李氏基金會（王嵩銘老師）</t>
  </si>
  <si>
    <t>止赴於「歐洲粒子物理研究中心」 （CERN）從事實驗研究工作。</t>
  </si>
  <si>
    <t>前往美國紐約參加CNS 2016 Annual Meeting,會議結束後前往亞特蘭大參訪Georgia Institute of Technology (GIT)和Georgia State University(GSU) ，並進一步洽談後續合作事宜，同時與其他研究者交換認知神經科學研究的心得</t>
  </si>
  <si>
    <t>105/04/01-105/04/09</t>
  </si>
  <si>
    <t>紐約市(New York,New York) 亞特蘭大(Atlanta,Georgia)</t>
  </si>
  <si>
    <t>可利用於染敏型太陽能電池之有機與金屬化合物_104-2113-M-001-009-MY3</t>
  </si>
  <si>
    <t>可利用於染敏型太陽能電池之有機與金屬化合物 參加26屆國際純化學與應用化學學會光化學研討會XXVIth IUPAC Symposium on Photochemistry (2016 IUPAC Photochem)並給予口頭演講</t>
  </si>
  <si>
    <t>105/04/03-105/04/09</t>
  </si>
  <si>
    <t>建立人類蛋白質體之高效率質譜導航系統_104-2113-M-001-005-MY3</t>
  </si>
  <si>
    <t>參加第64屆美國質譜學會</t>
  </si>
  <si>
    <t>105/06/03-105/06/11</t>
  </si>
  <si>
    <t>105/05/22-105/05/26</t>
  </si>
  <si>
    <t>Attend the International Conference on Coordination Chemistry at France and Visit several Universities in Germany for lectureships and scholar activities</t>
  </si>
  <si>
    <t>105/06/26-105/07/10</t>
  </si>
  <si>
    <t>Brest 哥廷根(Gottingen) Marburg Aachen</t>
  </si>
  <si>
    <t>出席國際會議EMN (Energy, Materials &amp; Nanotechnology) Meeting on Smart and Multifunctional Material-2016並給予邀請演講</t>
  </si>
  <si>
    <t>105/08/18-105/08/31</t>
  </si>
  <si>
    <t>鐵硫觸媒用於電及光催化產生潔淨能源之研究_104-2113-M-001-008-MY3</t>
  </si>
  <si>
    <t>105/08/28-105/08/31</t>
  </si>
  <si>
    <t>前往韓國濟州島參加IMID 2016會議並做邀請演講與主持部分會議，與科技部執行計畫使用於有機發光二極體熱活性型延遲螢光材料之設計合成與鑑定直接相關</t>
  </si>
  <si>
    <t>105/08/23-105/08/26</t>
  </si>
  <si>
    <t>105/07/15-105/07/24</t>
  </si>
  <si>
    <t>降解生質原料為芳香族小分子－過渡金屬錯合物在綠色環境下 催化氧化斷裂木質素中-O-4鍵結之研究(1/3)_104-2113-M-001-010-</t>
  </si>
  <si>
    <t>探討從Paenibacillus campinasensis萃取木聚醣?CBM36和木聚醣分子間之相互作用專一性_104-2113-M-001-021-</t>
  </si>
  <si>
    <t>赴法國參加XXI International Poxvirus Asfarvirus and Iridovirus Conference會議</t>
  </si>
  <si>
    <t>105/06/29-105/07/12</t>
  </si>
  <si>
    <t>Le Bischenberg 斯特拉斯堡(Strasbourg)</t>
  </si>
  <si>
    <t>結合實驗與數學模擬建構調控細胞遷移時間的動態－結合實驗與數學模擬建構調控細胞遷移時間的動態(子計畫二)(3/3)_104-2627-M-001-003</t>
  </si>
  <si>
    <t>參加“2016 Singlet Fission Workshop"</t>
  </si>
  <si>
    <t>105/06/14-105/06/22</t>
  </si>
  <si>
    <t>里昂 普林斯頓</t>
  </si>
  <si>
    <t>電子轉移和能量轉移的非絕熱態: 基礎理論與應用_101-2628-M-001-003-MY4</t>
  </si>
  <si>
    <t>至溫哥華參加『Quantum Systems in Chemistry, Physics, and Biology (QSCP-XXI)』研討會</t>
  </si>
  <si>
    <t>105/07/02-105/07/14</t>
  </si>
  <si>
    <t>加拿大(Canada) 美國(U.S.A.)</t>
  </si>
  <si>
    <t>溫哥華(Vancouver)(05/01-10/15) 爾灣市 Irvine</t>
  </si>
  <si>
    <t>Attend the 12th International Symposium on Organic Reaction at Kyoto, doing academic exchange, give lectureship at Kyoto University, Osaka University and Gifu University</t>
  </si>
  <si>
    <t>105/04/20-105/04/27</t>
  </si>
  <si>
    <t>京都(Kyoto) 大阪(Osaka) 名古屋(Nagoya)</t>
  </si>
  <si>
    <t>利用多功能多月太合成可控制釋放及膜融合之微脂體　並進行活體內載具釋放監測_105-2113-M-001-014-</t>
  </si>
  <si>
    <t>Attend join workshop between Institute of Chemistry, Academia Sinica and Institute of Transformative Bio-Molecules, Nagoya University. 2016 ITbM-IoC Joint Workshop on Biomolecules and Materials</t>
  </si>
  <si>
    <t>105/11/15-105/11/17</t>
  </si>
  <si>
    <t>Bilaterial joint workshop between Institute of Chemistry, Academia Sinica and Institute of Transformative Bio-Molecules, Nagoya University</t>
  </si>
  <si>
    <t>奈米結構應用於有機電子元件研究(1/3)_104-2113-M-001-012-</t>
  </si>
  <si>
    <t>奈米結構應用於有機電子元件研究，主要在於設計有機半導體材料，製備電極基板，作為場效電晶體通道材料與元件製備之用，並研究分子結構與場效遷移率之關係。</t>
  </si>
  <si>
    <t>105/04/21-105/04/25</t>
  </si>
  <si>
    <t>創新的催化和主族元素化學基於新Carbodicarbene和碳氫鍵活化 為一個新的ligand "carbodicarbene"，並且利用此ligand進行主族元素之反應性探討，以及應用在催化上面</t>
  </si>
  <si>
    <t>105/04/21-105/04/27</t>
  </si>
  <si>
    <t>藉由自然界靈感設計的Isomalyngamide A及其類似物：骨架中醣附屬物的優化及抗轉移活性的構效關係研究_103-2113-M-001-024-MY3</t>
  </si>
  <si>
    <t>出席第12屆國際研討會有機反應 (The 12th International Symposium on Organic Reactions)並給予演講</t>
  </si>
  <si>
    <t>105/04/21-105/04/24</t>
  </si>
  <si>
    <t>受邀“KAUST-NTU-AS Workshop for Enhancing Collaborations on Research and Education in Chemical and Materials Sciences and Engineering”會議演講並與King Abdullah University of Science and Technology學術交流</t>
  </si>
  <si>
    <t>105/04/01-105/04/08</t>
  </si>
  <si>
    <t>吉達(Jeddah)</t>
  </si>
  <si>
    <t>第12屆國際有機反應研討會由日本京都大學主辦，主辦人吉田潤一教授曾為本人在日本進修時之指導教授，雙方有密切合作及聯繫，故此次邀請本人參加此會議。</t>
  </si>
  <si>
    <t>105/03/27-105/03/29</t>
  </si>
  <si>
    <t>仁川(Incheon)</t>
  </si>
  <si>
    <t>手性有機硫催化劑於有機催化反應之研究;天然物合成(1/3)_104-2113-M-001-011-</t>
  </si>
  <si>
    <t>參加 “KAUST-NTU-AS Workshop for Enhancing Collaborations on Research and Education in Chemical and Materials Sciences and Engineering”，以天然物合成與治療二型糖尿病之活性研究發表演說。</t>
  </si>
  <si>
    <t>105/12/07-105/12/11</t>
  </si>
  <si>
    <t>紫質衍生物及其金屬錯合物在綠色化學及永續能源領域之應用研究_103-2113-M-001-004-MY3</t>
  </si>
  <si>
    <t>105/12/03-105/12/10</t>
  </si>
  <si>
    <t>至新加坡參加 the 14th International Symposium for Chinese Organic Chemists (ISCOC) and the 11th International Symposium for Chinese Inorganic Chemists (ISCIC) 2016</t>
  </si>
  <si>
    <t>105/12/07-105/12/12</t>
  </si>
  <si>
    <t>先進的漢彌頓於的耦合值計算與極化子的傳輸應用方法開發_105-2113-M-001-009-MY4</t>
  </si>
  <si>
    <t>參加“Mathematical and Computational Modeling of Biological Systems” (MCMBS 2016)會議並受邀演講</t>
  </si>
  <si>
    <t>105/11/29-105/12/02</t>
  </si>
  <si>
    <t>原出席 253rd ACS National Meeting &amp; Exposition, April 2-6, 2017, San Francisco, California 此ACS會議將不参加, 而出席: 2016年ISREC-SCCL 國際癌症研討會 主題將涉及包括所有癌症的標誌，側重於腫瘤免疫機制引導下治療。</t>
  </si>
  <si>
    <t>105/08/27-105/09/12</t>
  </si>
  <si>
    <t>洛桑(Lausanne)</t>
  </si>
  <si>
    <t>105/09/08-105/09/21</t>
  </si>
  <si>
    <t>榮獲亞洲尖端化學會議講座，應邀至日本講學一週。</t>
  </si>
  <si>
    <t>105/10/03-105/10/09</t>
  </si>
  <si>
    <t>京都(Kyoto) 名古屋(Nagoya) 東京(Tokyo) 仙台</t>
  </si>
  <si>
    <t>本次出國主要為受邀講者, 演講日期為會議第一天. 除此之外, 也將與其他學者進行交流, 促進合作的可能性</t>
  </si>
  <si>
    <t>105/09/06-105/09/25</t>
  </si>
  <si>
    <t>105/07/07-105/07/19</t>
  </si>
  <si>
    <t>馬賽(Marseille)</t>
  </si>
  <si>
    <t>赴日參加2016 Goldschmidt會議並發表論文</t>
  </si>
  <si>
    <t>由哈薩克，挪威及日本案例探討碰撞／隱沒帶之溶(熔)液－岩石交互作用_MOST104-2116-M-001-017</t>
  </si>
  <si>
    <t>參加Goldschmidt conference 2016國際會議，發表論文。</t>
  </si>
  <si>
    <t>105/06/25-105/07/03</t>
  </si>
  <si>
    <t>赴日參加Goldschmidt2016會議並發表論文</t>
  </si>
  <si>
    <t>參加2016 GOLDSCHMIDT YOKOHAMA 國際會議</t>
  </si>
  <si>
    <t>赴日本參加Goldschmidt2016會議並發表論文</t>
  </si>
  <si>
    <t>參加德國慕尼黑國際第四屆旋轉地震學工作小組會議(4th IWGoRS)</t>
  </si>
  <si>
    <t>105/06/18-105/06/27</t>
  </si>
  <si>
    <t>赴南非開普敦參加第35屆世界地質大會</t>
  </si>
  <si>
    <t>開普敦(Cope Town)</t>
  </si>
  <si>
    <t>赴法參加SEDI會議並發表論文</t>
  </si>
  <si>
    <t>105/07/24-105/08/13</t>
  </si>
  <si>
    <t>赴日參加2016Goldschmidt會議並發表論文</t>
  </si>
  <si>
    <t>赴奧地利維也納參加2016歐洲地球科學聯合會</t>
  </si>
  <si>
    <t>105/04/16-105/04/25</t>
  </si>
  <si>
    <t>亞太地區地球科學會議，交流科學知識及討論。會議匯集了世界各地不同的許多機構的研究特色。因此，許多口頭報告，海報展示，特邀報告和專題講座等活動。</t>
  </si>
  <si>
    <t>台灣周圍地體構造的研究（３）－建構南海寬頻地震網與建立其海嘯監測預警系統（III）_MOST104-2116-M-001-005</t>
  </si>
  <si>
    <t>本次出國目的是出席美國地球物理聯合會2015年秋季大會，在會上發表有關利用TAIGER炸測資料獲得的波初動到時反演台灣地殼多重尺度二維速度結構的結果，同時學習了解其他與會學者的最新研究成果。</t>
  </si>
  <si>
    <t>地球物理等相關地球科學國際學術研討會。會議主要分為口頭報告(Oral)及壁報展示(Poster)，以及另外邀請的特別演講、小型專題討論會、展覽等。</t>
  </si>
  <si>
    <t>參加2015American Geophysical Union (AGU) Fall Meeting 發表研究成果及參訪Columbia University and Princeton University</t>
  </si>
  <si>
    <t>104/12/12-105/01/04</t>
  </si>
  <si>
    <t>舊金山(San Francisco,California) 紐約市(New York,New York)</t>
  </si>
  <si>
    <t>出國計畫名稱:103年度科技部【 臺灣中央山脈的構造地形與發震構造研究(III) 】 內容簡述:參加2015 AGU(American Geophysical Union) FALL MEETING 國際會議並發表論文</t>
  </si>
  <si>
    <t>越過西藏（ＩＩ）：亞洲造山演化與大陸板塊構造的新視野（１／５）_MOST105-2745-M-001-002-ASP</t>
  </si>
  <si>
    <t>赴印尼進行野外地質調查及採樣</t>
  </si>
  <si>
    <t>105/09/25-105/10/08</t>
  </si>
  <si>
    <t>蘇拉維西及巴里島</t>
  </si>
  <si>
    <t>本會議舉行於日本，是地質災害議題備受關注的區域，吸引許多相關國際學者與會探討災害的預估及模式，會後參加野外實地勘查，能深入了解更多細節，可與台灣相關議題互相參考比較。</t>
  </si>
  <si>
    <t>赴越南河內參加越南地質學會科學技術學院舉辦之地球動力學和地質災害研討會</t>
  </si>
  <si>
    <t>105/10/22-105/10/27</t>
  </si>
  <si>
    <t>參加SEDI會議並發表論文</t>
  </si>
  <si>
    <t>105/07/03-105/08/12</t>
  </si>
  <si>
    <t>Nantes 蘇黎世(Zurich)</t>
  </si>
  <si>
    <t>赴日參加Goldschmidt 2016會議並發表論文</t>
  </si>
  <si>
    <t>105/06/23-105/07/02</t>
  </si>
  <si>
    <t>第二期能源國家型科技計畫地熱與天然氣水合物主軸中心之推動及管理計畫(III)_MOST105-3113-F-001-001</t>
  </si>
  <si>
    <t>「第40屆地熱資源年會與博覽會」每年定期舉辦，以美國為首的國際地熱會議與博覽會，提供地熱相關研究講習課程及野外調查，能快速了解國際間地熱最新技術發展，並於會中發表一篇海報論文。</t>
  </si>
  <si>
    <t>AGS11國際研討會的目的是鼓勵技術信息交流，以促進亞洲地區的地熱能源利用，涵蓋有地球科學(地質學、地球化學和地球物理學)，岩土工程(探勘、水庫管理和發電廠運行)，法律、社會經濟和環境方面的地熱能源使用，如地熱發電和直接使用，包括EGS技術與地源熱泵等議題。</t>
  </si>
  <si>
    <t>清邁(Chiang mai)</t>
  </si>
  <si>
    <t>台灣地前兆分析與理論模式之潛在防災應用(II)_MOST105-2119-M-001-010</t>
  </si>
  <si>
    <t>赴日本參加國際地球化學年會(Goldschmidt Conference)並發表研究成果</t>
  </si>
  <si>
    <t>105/06/26-105/07/03</t>
  </si>
  <si>
    <t>赴日參加 8th World Archaeological Congress (WAC 8)及 annual meeting of the Society of the History of Asian CastingTechnology</t>
  </si>
  <si>
    <t>105/08/27-105/09/06</t>
  </si>
  <si>
    <t>赴法國南特參加第二屆臺法地球與類地星球結構與動力學研討會</t>
  </si>
  <si>
    <t>赴義大利的里雅斯德參加第35屆歐洲地震學聯合會</t>
  </si>
  <si>
    <t>赴美國華盛頓卡內基機構進行研究及出席2016美國地球物理聯合會(AGU)秋季年會並發表論文</t>
  </si>
  <si>
    <t>參加2016 AGU Fall meeting發表論文</t>
  </si>
  <si>
    <t>台德雙方於103年2月簽署合作備忘錄，每年舉辦一次雙邊合作學術交流。今年度由德國基爾GEOMAR海洋研究中心主辦第六屆台德天然氣水合物合作探勘會議 (TaiGer VI)，時間訂於105年4月13-15日在德國舉行。</t>
  </si>
  <si>
    <t>105/04/10-105/04/17</t>
  </si>
  <si>
    <t>赴奧地利維也納參加2016EGU會議</t>
  </si>
  <si>
    <t>105/04/16-105/04/24</t>
  </si>
  <si>
    <t>至奧地利維也納出席European Geosciences Union General Assembly 2016會議</t>
  </si>
  <si>
    <t>花東縱谷孕震特性之研究(III)_MOST104-2116-M-001-002</t>
  </si>
  <si>
    <t>參加 European Geosciences Union General Assembly 2016 (2016年歐洲地球科學聯盟大會)</t>
  </si>
  <si>
    <t>赴美參加AGU 2016 fall meeting並發表論文</t>
  </si>
  <si>
    <t>參加美國舊金山舉行的2016AGU會議</t>
  </si>
  <si>
    <t>前往美國丹佛參加2016年美國地質物理學會年度會議</t>
  </si>
  <si>
    <t>赴日本參加Goldschmidt 2016會議並發表論文</t>
  </si>
  <si>
    <t>建立大台北與北台灣山區地震觀測網_MOST104-2116-M-001-004</t>
  </si>
  <si>
    <t>出席澳洲墨爾本2016第十一屆亞州地震學會會議(General Assembly of Asian Seismological Commission 2016)</t>
  </si>
  <si>
    <t>赴維也納參加歐洲地球科學聯盟2016年會</t>
  </si>
  <si>
    <t>赴奧地利參加台奧雙邊會議"從跨領域的角度來看氣候變遷－將來發展的遠景二"</t>
  </si>
  <si>
    <t>105/04/11-105/04/18</t>
  </si>
  <si>
    <t>105/04/11-105/04/24</t>
  </si>
  <si>
    <t>赴奧地利參加台奧雙邊會議"從跨領域的角度來看氣候變遷－將來發展的遠景二</t>
  </si>
  <si>
    <t>105/07/18-105/07/25</t>
  </si>
  <si>
    <t>前瞻技術產學合作計畫-基於SDN與Cloud架構之無限/寬網技術與服務(II)-思銳科技股份有限公司_MOST104-2622-8-009-001</t>
  </si>
  <si>
    <t>出席國際會議並發表論文且擔任Session Chairman</t>
  </si>
  <si>
    <t>105/07/08-105/09/05</t>
  </si>
  <si>
    <t>加拿大(Canada) 中國大陸(China)</t>
  </si>
  <si>
    <t>多倫多(Toronto) 北京(Beijing)</t>
  </si>
  <si>
    <t>多維體學線上分析系統合作研究計畫_05T-1030828-1C</t>
  </si>
  <si>
    <t>出席國際會議。</t>
  </si>
  <si>
    <t>105/05/10-105/05/13</t>
  </si>
  <si>
    <t>出席國際會議並發表論文。KDD 2016會議</t>
  </si>
  <si>
    <t>105/08/12-105/08/19</t>
  </si>
  <si>
    <t>壓縮感測重建效能之理論分析--拉近理論與現實之差距　_MOST104-2221-E-001-019-MY3</t>
  </si>
  <si>
    <t>出席國際會議並發表論文。ICIP2016</t>
  </si>
  <si>
    <t>出席國際會議並發表論文。LREC 2016</t>
  </si>
  <si>
    <t>105/05/23-105/05/29</t>
  </si>
  <si>
    <t>斯洛維尼亞(Slovenia)</t>
  </si>
  <si>
    <t>波爾托羅（Portorož）</t>
  </si>
  <si>
    <t>5G SDN 極密小區間無線網路之移動與資源管理_MOST104-2221-E-001-007-MY3</t>
  </si>
  <si>
    <t>105/05/21-105/05/28</t>
  </si>
  <si>
    <t>105/05/28-105/06/01</t>
  </si>
  <si>
    <t>出席國際會議並發表論文。ICC2016</t>
  </si>
  <si>
    <t>105/05/22-105/05/27</t>
  </si>
  <si>
    <t>舊金山(San Francisco,California) 蒙特婁(Montreal)</t>
  </si>
  <si>
    <t>105/03/14-105/03/16</t>
  </si>
  <si>
    <t>蜆港(Danang)</t>
  </si>
  <si>
    <t>前瞻技術產學合作計畫-基於SDN與Cloud架構之無限/寬網技術與服務(II)-英業達股份有限公司　_MOST104-2622-8-009-001</t>
  </si>
  <si>
    <t>前瞻智慧感測與網路技術及應用－總計畫暨子計畫一：服務與通訊平台設計與實作（2/2）_MOST104-2221-E-001-001</t>
  </si>
  <si>
    <t>出席國際會議並發表論文。(ICC) 2016</t>
  </si>
  <si>
    <t>105/05/22-105/05/28</t>
  </si>
  <si>
    <t>出席國際會議並擔任Keynote Speaker</t>
  </si>
  <si>
    <t>105/06/25-105/06/30</t>
  </si>
  <si>
    <t>出席國際會議並發表論文。MobiSys 2016</t>
  </si>
  <si>
    <t>105/07/04-105/07/12</t>
  </si>
  <si>
    <t>Paderborn</t>
  </si>
  <si>
    <t>資料之邏輯表徵與推理_MOST104-2221-E-001-010-MY3</t>
  </si>
  <si>
    <t>105/07/18-105/07/31</t>
  </si>
  <si>
    <t>解析染色體親合程度對轉錄因子結合機制之影響_MOST103-2221-E-001-024-MY2</t>
  </si>
  <si>
    <t>出席國際會議並發表論文。RNA 2016</t>
  </si>
  <si>
    <t>105/06/28-105/07/07</t>
  </si>
  <si>
    <t>建立一個領域相關機器閱讀系統之探討_NSC104-2221-E-001-025</t>
  </si>
  <si>
    <t>出席國際會議並發表論文。NAACL HLT 2016</t>
  </si>
  <si>
    <t>105/06/12-105/06/18</t>
  </si>
  <si>
    <t>鍵值固態硬碟之高效管理設計_MOST105-2221-E-001-013-MY3</t>
  </si>
  <si>
    <t>105/08/17-105/08/19</t>
  </si>
  <si>
    <t>大邱(Taegu)</t>
  </si>
  <si>
    <t>105/05/05-105/05/20</t>
  </si>
  <si>
    <t>Klagenfurt</t>
  </si>
  <si>
    <t>基於深層學習之服裝辨認與智慧型手機平台檢索_MOST104-2221-E-001-023-MY2</t>
  </si>
  <si>
    <t>出席國際會議並發表論文。CVPR</t>
  </si>
  <si>
    <t>105/06/23-105/07/04</t>
  </si>
  <si>
    <t>拉斯維加斯</t>
  </si>
  <si>
    <t>105/02/14-105/02/20</t>
  </si>
  <si>
    <t>出席國際會議並發表論文。TCC 2016</t>
  </si>
  <si>
    <t>104/12/28-105/01/14</t>
  </si>
  <si>
    <t>出席國際會議並發表論文。ICSE會議</t>
  </si>
  <si>
    <t>105/05/16-105/05/23</t>
  </si>
  <si>
    <t>奧斯丁(Austin, Texas)</t>
  </si>
  <si>
    <t>出席國際會議並受邀於會中擔任Session Chair</t>
  </si>
  <si>
    <t>105/02/23-105/02/26</t>
  </si>
  <si>
    <t>出席國際會議並發表論文。(COLING 2016)</t>
  </si>
  <si>
    <t>105/12/09-105/12/19</t>
  </si>
  <si>
    <t>出席國際會議並發表論文。(Coling 2016)</t>
  </si>
  <si>
    <t>藉由完成三種不同領域相關之機器閱讀系統,建立一個可通用的機器閱讀架構－子計畫二：基於事件的文本蘊含判定與自動學習技術之研_MOST105-2221-E-001-007-MY3</t>
  </si>
  <si>
    <t>建設風力發電廠的相關網路設計問題之研究(3/3)_MOST105-2221-E-001-032</t>
  </si>
  <si>
    <t>105/12/10-105/12/17</t>
  </si>
  <si>
    <t>隱私保護影像內容分析技術_(105)資瞻約字第1629號</t>
  </si>
  <si>
    <t>出席國際會議。(WIFS)</t>
  </si>
  <si>
    <t>105/12/03-105/12/08</t>
  </si>
  <si>
    <t>阿布達比(Abu Dhabi)</t>
  </si>
  <si>
    <t>以超邊為基礎結合頻繁樣式之社群網路分析_MOST105-2628-E-001-001-MY2</t>
  </si>
  <si>
    <t>出席國際會議並發表論文。IEEE Globecom</t>
  </si>
  <si>
    <t>105/12/02-105/12/09</t>
  </si>
  <si>
    <t>計算幾何與組合最佳化之演算法研究(3/3)_MOST105-2221-E-001-033</t>
  </si>
  <si>
    <t>出席國際會議並發表論文。ISAAC 2016</t>
  </si>
  <si>
    <t>前瞻技術產學合作計畫-基於SDN與Cloud架構之無限/寬網技術與服務(III)-思銳科技股份有限公司_MOST105-2622-8-009-008</t>
  </si>
  <si>
    <t>出席國際會議並發表論文。InCoB 2016</t>
  </si>
  <si>
    <t>105/09/20-105/09/23</t>
  </si>
  <si>
    <t>嘉南平原水文、農業空間及聚落生活空間之百年變遷與連動關係之研究－時空資訊處理的協同方法與系統(子計畫四)(1/3)_MOST105-2627-M-001-014</t>
  </si>
  <si>
    <t>出席國際會議並發表論文。(ACM SIGSPATIAL 2016)</t>
  </si>
  <si>
    <t>105/10/30-105/11/07</t>
  </si>
  <si>
    <t>發展高速分散平行演算法於雲端以達成巨量次世代定序資料之高品質基因體組裝_MOST105-2221-E-001-031-MY3</t>
  </si>
  <si>
    <t>出席國際會議受邀演講及發表論文。</t>
  </si>
  <si>
    <t>105/09/30-105/10/20</t>
  </si>
  <si>
    <t>美國(U.S.A.) 巴西(Brazil)</t>
  </si>
  <si>
    <t>Omaha 巴西利亞(Brisilia)</t>
  </si>
  <si>
    <t>潛在變數模型的主動式學習_MOST103-2221-E-001-015-MY3</t>
  </si>
  <si>
    <t>105/12/03-105/12/12</t>
  </si>
  <si>
    <t>出席國際會議並發表論文。CCNC</t>
  </si>
  <si>
    <t>105/01/09-105/01/13</t>
  </si>
  <si>
    <t>Las Vegas</t>
  </si>
  <si>
    <t>出席國際會議並發表論文。TargetAd Workshop 2016</t>
  </si>
  <si>
    <t>105/02/19-105/03/01</t>
  </si>
  <si>
    <t>105/12/10-105/12/19</t>
  </si>
  <si>
    <t>出席國際會議並發表論文。ICDCS 2016</t>
  </si>
  <si>
    <t>105/06/28-105/07/04</t>
  </si>
  <si>
    <t>奈良(Nara)</t>
  </si>
  <si>
    <t>出席國際會議擔任General Co-Chair並於會中演講。TransKS 2016</t>
  </si>
  <si>
    <t>105/05/02-105/05/09</t>
  </si>
  <si>
    <t>聖地牙哥(San Diego,California) 爾灣市</t>
  </si>
  <si>
    <t>出席國際會議並發表論文。IEA/AIE 2016</t>
  </si>
  <si>
    <t>105/08/01-105/08/08</t>
  </si>
  <si>
    <t>盛岡市</t>
  </si>
  <si>
    <t>出席國際會議並發表論文。ASONAM 2016</t>
  </si>
  <si>
    <t>105/08/16-105/08/23</t>
  </si>
  <si>
    <t>強化多方私密計算之效能與理論保證_MOST104-2221-E-001-017</t>
  </si>
  <si>
    <t>出席國際會議並發表論文。SIMULTECH 2016</t>
  </si>
  <si>
    <t>105/07/27-105/08/02</t>
  </si>
  <si>
    <t>發展基因組和轉譯組組裝技術和工具_MOST105-2221-E-001-026-MY3</t>
  </si>
  <si>
    <t>105/09/02-105/09/08</t>
  </si>
  <si>
    <t>出席國際會議並擔任Session Chairman</t>
  </si>
  <si>
    <t>105/07/11-105/07/16</t>
  </si>
  <si>
    <t>出席國際會議並發表論文。SCIS&amp;ISIS2016</t>
  </si>
  <si>
    <t>105/08/23-105/08/31</t>
  </si>
  <si>
    <t>出席國際會議並發表論文。IJCAI-2016</t>
  </si>
  <si>
    <t>105/07/11-105/07/17</t>
  </si>
  <si>
    <t>基於非監督式二元碼的大尺度影像相似搜尋_MOST105-2221-E-001-027-MY2</t>
  </si>
  <si>
    <t>105/09/21-105/10/05</t>
  </si>
  <si>
    <t>自動化生成和驗證高效安全不洩漏旁通道資訊的密碼學程式　_MOST105-2221-E-001-014-MY3</t>
  </si>
  <si>
    <t>105/11/13-105/11/18</t>
  </si>
  <si>
    <t>出席國際會議並受邀擔任session chair</t>
  </si>
  <si>
    <t>105/10/23-105/10/28</t>
  </si>
  <si>
    <t>應用於訊號分離的稀疏解析與合成模型_MOST104-2221-E-001-022-MY3</t>
  </si>
  <si>
    <t>出席國際會議並發表論文。(ICIP)</t>
  </si>
  <si>
    <t>105/09/24-105/10/02</t>
  </si>
  <si>
    <t>代1302-105-2914-I-001-011-A1</t>
  </si>
  <si>
    <t>105/04/15-105/04/28</t>
  </si>
  <si>
    <t>代1303：105-2914-I-001-027-A1－科技部補助105年7月赴美國奧斯丁參加ICALT2016</t>
  </si>
  <si>
    <t>出席國際會議並發表論文。ICALT2016</t>
  </si>
  <si>
    <t>105/07/23-105/08/02</t>
  </si>
  <si>
    <t>植物內生性及病毒核醣核酸之運送－植物內生性核醣核酸之運送(1/3)(植余)_MOST 104-2311-B-001-040</t>
  </si>
  <si>
    <t>105/07/04-105/07/16</t>
  </si>
  <si>
    <t>105/07/09-105/07/23</t>
  </si>
  <si>
    <t>105/05/27-105/06/10</t>
  </si>
  <si>
    <t>105/06/24-105/07/03</t>
  </si>
  <si>
    <t>105/05/27-105/06/04</t>
  </si>
  <si>
    <t>Les Diablerets</t>
  </si>
  <si>
    <t>105/06/29-105/07/03</t>
  </si>
  <si>
    <t>慶州(Kyongju)</t>
  </si>
  <si>
    <t>105/05/25-105/06/04</t>
  </si>
  <si>
    <t>105/05/26-105/06/05</t>
  </si>
  <si>
    <t>Les Diablerets 巴黎(Paris)</t>
  </si>
  <si>
    <t>105/07/01-105/07/10</t>
  </si>
  <si>
    <t>布里斯本(Brisbane)</t>
  </si>
  <si>
    <t>105/06/28-105/07/03</t>
  </si>
  <si>
    <t>105/08/05-105/08/19</t>
  </si>
  <si>
    <t>馬斯垂克</t>
  </si>
  <si>
    <t>105/08/05-105/08/14</t>
  </si>
  <si>
    <t>105/01/08-105/01/14</t>
  </si>
  <si>
    <t>105/03/25-105/03/29</t>
  </si>
  <si>
    <t>105/04/10-105/04/13</t>
  </si>
  <si>
    <t>105/03/17-105/03/21</t>
  </si>
  <si>
    <t>盛岡</t>
  </si>
  <si>
    <t>105/07/09-105/07/13</t>
  </si>
  <si>
    <t>105/10/10-105/10/13</t>
  </si>
  <si>
    <t>105/09/21-105/10/02</t>
  </si>
  <si>
    <t>法國(France) 比利時(Belgium) 澳大利亞(Australia)</t>
  </si>
  <si>
    <t>Montpelier Ghent 布里斯本(Brisbane)</t>
  </si>
  <si>
    <t>105/08/31-105/09/07</t>
  </si>
  <si>
    <t>Leeds</t>
  </si>
  <si>
    <t>105/11/08-105/11/14</t>
  </si>
  <si>
    <t>Tampa</t>
  </si>
  <si>
    <t>105/11/16-105/12/04</t>
  </si>
  <si>
    <t>堪薩斯(Kansas,Missouri)</t>
  </si>
  <si>
    <t>105/11/03-105/11/16</t>
  </si>
  <si>
    <t>Tampa Bloomington, Indiana</t>
  </si>
  <si>
    <t>105/09/23-105/10/02</t>
  </si>
  <si>
    <t>法國(France) 比利時(Belgium)</t>
  </si>
  <si>
    <t>Montepellier Ghent</t>
  </si>
  <si>
    <t>105/11/24-105/12/01</t>
  </si>
  <si>
    <t>大阪(Osaka) 廣島(Hiroshima)</t>
  </si>
  <si>
    <t>105/10/22-105/11/06</t>
  </si>
  <si>
    <t>西班牙(Spain) 德國(Germany)</t>
  </si>
  <si>
    <t>Girona 科隆(Cologne)</t>
  </si>
  <si>
    <t>105/09/23-105/10/10</t>
  </si>
  <si>
    <t>Montpellier Perpignan 巴黎(Paris)</t>
  </si>
  <si>
    <t>105/09/26-105/09/29</t>
  </si>
  <si>
    <t>105/09/23-105/09/30</t>
  </si>
  <si>
    <t>105/09/24-105/10/10</t>
  </si>
  <si>
    <t>波茲蘭(Poznan)</t>
  </si>
  <si>
    <t>105/07/01-105/07/17</t>
  </si>
  <si>
    <t>105/01/09-105/01/20</t>
  </si>
  <si>
    <t>105/08/20-105/09/01</t>
  </si>
  <si>
    <t>105/08/24-105/08/30</t>
  </si>
  <si>
    <t>104/09/06-104/10/19</t>
  </si>
  <si>
    <t>參加日本神經科學學會第39屆年會發表計畫的研究成果</t>
  </si>
  <si>
    <t>105/07/19-105/07/31</t>
  </si>
  <si>
    <t>應邀至丹麥哥本哈根10th FENS Forum of Neuroscience 會議進行演講</t>
  </si>
  <si>
    <t>105/07/01-105/07/08</t>
  </si>
  <si>
    <t>受邀赴美國德州參加第12屆國際魚類生物學會"12th International Congress on the Biology of Fish"</t>
  </si>
  <si>
    <t>105/06/11-105/06/21</t>
  </si>
  <si>
    <t>San Marcos, Texas</t>
  </si>
  <si>
    <t>第十型葡萄糖運送子在脂肪組織中之生理功能與調控_MOST104-2320-B-001-021-MY3</t>
  </si>
  <si>
    <t>出席2016 Melia Sitges, Spain Cell Symposium, Aging and Metabolism Meeting(細胞研討會：老化與代謝)</t>
  </si>
  <si>
    <t>105/07/08-105/07/15</t>
  </si>
  <si>
    <t>Melia Sitages</t>
  </si>
  <si>
    <t>探討萬能分化性,再程序化與生殖系細胞分化之分子基礎-探討環形核糖核酸於細胞全功能分化性全功能分化性再程式化及生殖細胞分化之_MOST104-2321-B-001-031</t>
  </si>
  <si>
    <t>出席美國舊金山 2016 ISSCR Annual Meeting</t>
  </si>
  <si>
    <t>105/06/21-105/06/27</t>
  </si>
  <si>
    <t>由基因及結構研究古生病毒與細胞共同演化的機制_MOST103-2314-B-001-002-MY2</t>
  </si>
  <si>
    <t>至香港出席 Gordon Research conference on Three Dimensional Electron Microscopy 國際學術會議</t>
  </si>
  <si>
    <t>105/06/18-105/06/23</t>
  </si>
  <si>
    <t>生長因子Progranulin促進魚類肌肉發育與生長之調控(3/3)_MOST104-2321-B-001-007-</t>
  </si>
  <si>
    <t>至美國出席第十二屆斑馬魚發育及基因調控國際研討會</t>
  </si>
  <si>
    <t>105/07/13-105/07/19</t>
  </si>
  <si>
    <t>利用分歧分類學探討盲鰻軟骨生成相關基因之表現模式以了解早期脊椎動物骨骼組織之演化分歧_NSC102-2311-B-001-012-MY3</t>
  </si>
  <si>
    <t>至瑞典烏普薩拉參加第六屆歐洲演化發育學年會(6th meeting of the European Society for Evolutionary Developmental Biology (EED) in Uppsala, Sweden)</t>
  </si>
  <si>
    <t>105/07/24-105/07/31</t>
  </si>
  <si>
    <t>調控微核醣核酸145參與肝細胞反分化機轉於斑馬魚肝內膽道癌之形 成_MOST104-2313-B-001-005-</t>
  </si>
  <si>
    <t>DNA拓樸異構脢在細胞與分子上之重要功能(3/5)_MOST104-2321-B-001-012-</t>
  </si>
  <si>
    <t>出席Gordon Research Conferences 2016 Meeting Mutagenesis會議及會中發表論文</t>
  </si>
  <si>
    <t>105/06/04-105/06/12</t>
  </si>
  <si>
    <t>疾病專一性誘導型全能幹細胞之建立鑑定,做為疾病模式與藥物開發之平台-利用卵巢疾病與神經退化性疾病_NSC 102-2321-B-001-067-MY3</t>
  </si>
  <si>
    <t>參加台灣與新加坡神經科學雙邊研討會</t>
  </si>
  <si>
    <t>105/05/18-105/05/21</t>
  </si>
  <si>
    <t>參加6th Gonad Biology Joint Meeting(第六屆生殖生物學聯合會議)，並在會議期間張貼海報</t>
  </si>
  <si>
    <t>105/01/19-105/01/24</t>
  </si>
  <si>
    <t>參加第六屆生殖生物學聯合會議並以海報張貼闡述本計畫進度報告。</t>
  </si>
  <si>
    <t>探討幹細胞特殊生物標誌,下游調控因子與組織再生之研究-質譜儀核心設施與以單株抗體鑑定幹細胞表面生物標誌(子計畫三)(2/2)_MOST104-2321-B-001-030</t>
  </si>
  <si>
    <t>出席ISSCR會議及發表論文</t>
  </si>
  <si>
    <t>105/03/21-105/03/28</t>
  </si>
  <si>
    <t>至美國 California Institute of Technology參加Stem Cells, Gene Regulatory Networks and the Evolution of Vertebrates Symposium</t>
  </si>
  <si>
    <t>105/01/28-105/02/03</t>
  </si>
  <si>
    <t>Pasadena, California</t>
  </si>
  <si>
    <t>抗菌月太貼布應用於燒燙傷之開發_MOST104-2622-B-001-006-CC2</t>
  </si>
  <si>
    <t>參加第六屆抗菌肽國際研討會</t>
  </si>
  <si>
    <t>105/08/29-105/09/05</t>
  </si>
  <si>
    <t>Leipzig</t>
  </si>
  <si>
    <t>參加2016The 6th meeting of the European Society for Evolutionary Developmental Biology並發表論文</t>
  </si>
  <si>
    <t>105/07/17-105/07/31</t>
  </si>
  <si>
    <t>瑞典(Sweden) 捷克(Czech Republic)</t>
  </si>
  <si>
    <t>斯德哥爾摩(Stockholm) 布拉格(Prauge)</t>
  </si>
  <si>
    <t>出席日本神經科學學會第39屆年會及第31屆國際心理學大會</t>
  </si>
  <si>
    <t>105/07/19-105/07/26</t>
  </si>
  <si>
    <t>探討神經活性誘導大腦體感覺區域發育之機制(1/2)_MOST104-2321-B-001-062-</t>
  </si>
  <si>
    <t>參加美國波士頓神經發育之戈登會議(Gordon Research Conference on Neural Development)</t>
  </si>
  <si>
    <t>105/07/20-105/08/07</t>
  </si>
  <si>
    <t>至美國Berkeley 參加 cell symposia: 10 years of iPSCs</t>
  </si>
  <si>
    <t>105/09/24-105/09/29</t>
  </si>
  <si>
    <t>有償材料移轉案_28T-1030925-1C</t>
  </si>
  <si>
    <t>前往瑞士出席ISREC-SCCL Symposium 2016:Horizons of Cancer Biology and Therapy會議,並於會中發表論文</t>
  </si>
  <si>
    <t>至義大利 Florence 参加 The European Society of Gene and Cell therapy (ESGCT) Annual meeting</t>
  </si>
  <si>
    <t>105/10/16-105/10/23</t>
  </si>
  <si>
    <t>後口動物身體特徵發育與演化機制之研究(1/5)_MOST105-2321-B-001-060-</t>
  </si>
  <si>
    <t>參加第一屆國際半索動物會議International Hemichordate meeting並發表論文</t>
  </si>
  <si>
    <t>105/12/09-105/12/13</t>
  </si>
  <si>
    <t>探討神經活性誘導大腦體感覺區域發育之機制(2/2)_MOST105-2321-B-001-042-</t>
  </si>
  <si>
    <t>參加2016 Society for Neuroscience會議</t>
  </si>
  <si>
    <t>105/11/11-105/11/18</t>
  </si>
  <si>
    <t>參加在新加坡舉行的第7屆亞太斑馬魚會議並發表論文</t>
  </si>
  <si>
    <t>105/09/30-105/10/04</t>
  </si>
  <si>
    <t>魚類適應鹽度生理機制的新觀點-魚類適應鹽度生理機制的荷爾蒙調 控(2/3)_MOST105-2311-B-001-004</t>
  </si>
  <si>
    <t>應邀參加於日本沖繩舉辦之 "22屆國際動物學研討會及"87屆日本動物學會大會"</t>
  </si>
  <si>
    <t>105/11/13-105/11/19</t>
  </si>
  <si>
    <t>105/06/17-105/06/26</t>
  </si>
  <si>
    <t>凱恩斯</t>
  </si>
  <si>
    <t>105/06/01-105/06/19</t>
  </si>
  <si>
    <t>英國(United Kingdom) 德國(Germany) 法國(France)</t>
  </si>
  <si>
    <t>愛丁堡(Edinburgh) Mainz 巴黎(Paris)</t>
  </si>
  <si>
    <t>爭取台灣主辦世界醣類科學研討會(1/2)_MOST105-2911-I-001-509</t>
  </si>
  <si>
    <t>美國參加 I.C.S. 2016 XXVIII International Carbohydrate Symposium, New Orleans, Louisiana, USA</t>
  </si>
  <si>
    <t>發展交錯保護基化學以合成腫瘤相關的醣類抗原_NSC102-2113-M-001-001-MY3 林俊宏</t>
  </si>
  <si>
    <t>參加FASEB Science Research Conferences</t>
  </si>
  <si>
    <t>105/07/16-105/07/24</t>
  </si>
  <si>
    <t>以高階質譜分析技術鑑定免疫細胞瘤酸化醣質體之結構特性與變化_NSC102-2311-B-001-026-MY3邱繼輝</t>
  </si>
  <si>
    <t>參加 第七屆 MIRAGE 會議及第六屆 Warren Workshop</t>
  </si>
  <si>
    <t>105/08/19-105/08/27</t>
  </si>
  <si>
    <t>從本土嗜熱真菌的二次代謝物到新藥的開發_MOST103-2113-M-001-029-MY3吳世雄</t>
  </si>
  <si>
    <t>參加The 27th international conference on magnetic resonance in biological systems研討會，進行學術交流</t>
  </si>
  <si>
    <t>以多參數物理化學方法探討扭結形成對蛋白摺疊熱力學及動力學之貢獻(1/3)_MOST104-2113-M-001-016徐尚德</t>
  </si>
  <si>
    <t>以液態核磁共振光譜學配合多參數物理化學方法建立高動態之生物巨分子交互作用模型</t>
  </si>
  <si>
    <t>105/04/17-105/04/25</t>
  </si>
  <si>
    <t>參加International Carbohydrate Symposium 2016 (美國紐奧良)</t>
  </si>
  <si>
    <t>去磷酸?在發炎反應中調控 管內皮細胞表面醣化作用 機制探討(2/3)_MOST104-2321-B-001-037</t>
  </si>
  <si>
    <t>這次出國的目的是要做小型口頭報告以及海報展示,來做學術的交流</t>
  </si>
  <si>
    <t>105/10/26-105/10/31</t>
  </si>
  <si>
    <t>I am presenting a poster and oral presentation in this conference which is focussing on PTPs and my current project is dealing with PTPRA. It is important for me to gain more knowledge in this field.</t>
  </si>
  <si>
    <t>Cul3-KLHL20泛素接合?推化之K33與K48位點多泛素修飾在膜轉運及細胞自噬扮演之角色(3/5)_MOST105-2321-B-001-015</t>
  </si>
  <si>
    <t>參加2016美國細胞年會</t>
  </si>
  <si>
    <t>利用此研討會海報展示研究重要成果並利用交流機會瞭解研究發展方向與趨勢</t>
  </si>
  <si>
    <t>105/11/14-105/11/20</t>
  </si>
  <si>
    <t>Santa Barbara, California</t>
  </si>
  <si>
    <t>科技部計畫：小細胞系統動態運作的分子機制與細胞分裂相關內膜蛋白及脂質特徵研究 參加 The Gordon Conference on Bacterial Cell Surfaces會議，吸收領域新知並與領域內相關學者討論交換意見。</t>
  </si>
  <si>
    <t>West Dover, VT</t>
  </si>
  <si>
    <t>赴日本東京參與3/15至3/16的BIO Asia international conference，於會議中將與國外廠商交流，以建立未來合作的可能性，並將進行商業媒合與國外案源評估。</t>
  </si>
  <si>
    <t>105/03/14-105/03/20</t>
  </si>
  <si>
    <t>參加251st ACS National Meeting &amp; Exposition,並在會議中給予演講，順道訪問Dr. Jacquelyn Gervay Hague 討論研究成果及合作計畫。</t>
  </si>
  <si>
    <t>105/03/12-105/03/18</t>
  </si>
  <si>
    <t>參加The 27th International Conference on Magnetic Resonance in Biological Systems</t>
  </si>
  <si>
    <t>105/08/18-105/08/30</t>
  </si>
  <si>
    <t>研究Siglec-15如何透過與受體作用去影響破骨細胞分化的機制_MOST104-2311-B-001-017-MY3</t>
  </si>
  <si>
    <t>I am attending Sialoglyco 2016 by invitation; and I am attending 2016 Society for Glycobiology Meeting as a regular participant, and presenting poster.</t>
  </si>
  <si>
    <t>105/11/14-105/11/24</t>
  </si>
  <si>
    <t>紐奧良(New Orleans, Louisiana) Santa Barbara</t>
  </si>
  <si>
    <t>研究唾液結合蛋白在慢性阻塞性肺病之嚴重性及肺癌誘發性的關連性(2/3)_MOST105-2321-B-001-051</t>
  </si>
  <si>
    <t>以電子自旋共振光譜及交叉引晶實驗來研究普立昂蛋白序列如何決定普立昂跨種感染屏障_MOST105-2119-M-001-028</t>
  </si>
  <si>
    <t>受邀赴香港中文大學參加Sunney I Chan Symposium on “Chemical and Biological Approaches for Energy and Sustainability”並在Mini-symposium on Neurodegenerative Aggregation Diseases發表演講</t>
  </si>
  <si>
    <t>105/10/04-105/10/06</t>
  </si>
  <si>
    <t>出席參加於日本京都舉辦之11th International Congress of Extremophiles會議</t>
  </si>
  <si>
    <t>因執行科技部計畫「安陽殷墟出土陶範的斷代研究（III）」需要，前往奈良文化財研究所、京都泉屋博古館蒐集資料，期間將出席「第八屆世界考古學會會議」及「2016亞洲鑄造技術史學會岡山大會」，並發表論文。</t>
  </si>
  <si>
    <t>105/08/25-105/09/07</t>
  </si>
  <si>
    <t>京都(Kyoto) 岡山(Okayama)</t>
  </si>
  <si>
    <t>明清東南中國的山民與海民：文化傳播與社群建構的歷史過程_MOST 105-2410-H-001-067-MY2</t>
  </si>
  <si>
    <t>前往俄羅斯聖彼得堡參加「第21屆歐洲漢學學會雙年會」，並發表論文；另擔任「Social Control and the ‘Boundary’ in the Qing Empire」論文組評論人。</t>
  </si>
  <si>
    <t>105/08/20-105/08/31</t>
  </si>
  <si>
    <t>聖彼得堡(Saint. Petersburg)(05/01-10/31)</t>
  </si>
  <si>
    <t>史前時代臺灣北、中、東部臺灣野豬與家豬形態學和種系發展史標記驗證_MOST 104-2410-H-001-023-MY2</t>
  </si>
  <si>
    <t>因執行科技部計畫「史前時代臺灣北、中、東部臺灣野豬與家豬形態學和種系發展史標記驗證」需要，前往日本京都參加第八屆世界考古學大會，並發表論文。</t>
  </si>
  <si>
    <t>105/08/25-105/09/03</t>
  </si>
  <si>
    <t>京都(Kyoto) 奈良(Nara)</t>
  </si>
  <si>
    <t>透過來源分析來尋找古代社會網絡：由新喀里多尼亞的Lapita遺址群談起_MOST 104-2628-H-001-006-MY2</t>
  </si>
  <si>
    <t>因執行科技部計畫「透過來源分析來尋找古代社會網絡：由新喀里多尼亞的Lapita遺址群談起」需要，前往日本京都參加「第八屆世界考古學大會」，並發表論文。</t>
  </si>
  <si>
    <t>105/08/27-105/09/03</t>
  </si>
  <si>
    <t>臺灣附近海域水下文化資產調查第三階段第四(105)年度計畫_</t>
  </si>
  <si>
    <t>因協助執行「臺灣附近海域水下文化資產調查第三階段第四年度計畫」，奉派赴澳洲西部費利曼圖參加第六屆水下考古國際大會，並發表論文。</t>
  </si>
  <si>
    <t>105/11/26-105/12/03</t>
  </si>
  <si>
    <t>費利曼圖</t>
  </si>
  <si>
    <t>因執行文化部文化資產局委託「臺灣附近海域水下文化資產調查第三階段第四（105）年度計畫」需要，前往澳洲費利圖曼參加「第六屆水下考古國際大會」， 並發表論文（與黃漢彰、施國隆、林炳耀等人合著）。</t>
  </si>
  <si>
    <t>費利曼圖(Fremantle)</t>
  </si>
  <si>
    <t>認識論視野下藝術圖像資源的知識組織_MOST 105-2410-H-001-073</t>
  </si>
  <si>
    <t>105/10/11-105/10/20</t>
  </si>
  <si>
    <t>因執行科技部「台法國合計畫－中國海海洋知識之建構」需要，前往澳大利亞伯斯出席The 7th International Congress of Maritime History，並發表論文Water, Provision, and "Joss" Business - Life on Board a Chinese Junk。</t>
  </si>
  <si>
    <t>伯斯(Perth)</t>
  </si>
  <si>
    <t>安陽殷墟青銅器陶範製作法的研究_MOST 105-2410-H-001-047-MY2</t>
  </si>
  <si>
    <t>因執行科技部計畫「安陽殷墟青銅器陶範製作法的研究」需要，前往京都參加「日本中國考古學會2016年度大會」，並發表論文。</t>
  </si>
  <si>
    <t>105/11/18-105/11/22</t>
  </si>
  <si>
    <t>台法幽蘭計畫－雙邊研討會</t>
  </si>
  <si>
    <t>為執行科技部補助之「台灣新石器時代至現代早期的海洋樣貌」（台法幽蘭計畫－雙邊研討會），出席本所及法國遠東學院等單位在巴黎舉辦國際學術研討會；並赴馬賽法國文化與通訊部國家水下及海洋考古研究中心訪問。</t>
  </si>
  <si>
    <t>104/11/15-104/11/24</t>
  </si>
  <si>
    <t>巴黎(Paris) 馬賽(Marseille)</t>
  </si>
  <si>
    <t>巴黎(Paris) 艾克斯普羅旺斯(Aix-en-Provence)</t>
  </si>
  <si>
    <t>為執行科技部補助之「台灣新石器時代至現代早期的海洋樣貌」（台法幽蘭計畫－雙邊研討會），出席本所及法國遠東學院等單位在巴黎舉辦國際學術研討會，並發表論文。</t>
  </si>
  <si>
    <t>為執行科技部補助之「台灣新石器時代至現代早期的海洋樣貌」（台法幽蘭計畫－雙邊研討會），出席本所及法國遠東學院等機構在巴黎舉辦國際學術研討會，並發表論文。</t>
  </si>
  <si>
    <t>104/11/11-104/11/22</t>
  </si>
  <si>
    <t>104/11/15-104/12/01</t>
  </si>
  <si>
    <t>法國(France) 義大利(Italy) 西班牙(Spain)</t>
  </si>
  <si>
    <t>巴黎(Paris) 羅馬(Rome) 馬德里(Madrid) 巴塞隆納(Barcelona)</t>
  </si>
  <si>
    <t>科技部補助國內專家學者出席國際學術會議（補助編號：105-2914-I-001-044-A1）</t>
  </si>
  <si>
    <t>前往英國Canterbury參加The 16th Annual Conference of the British Association for Biological Anthropology and Osteoarchaeology，並發表論文。</t>
  </si>
  <si>
    <t>105/09/03-105/09/18</t>
  </si>
  <si>
    <t>Canterbury 劍橋(Cambridge)</t>
  </si>
  <si>
    <t>赴日本京都參加The Association for Asian Studies in Asia Conference</t>
  </si>
  <si>
    <t>前往日本京都參加The Association for Asian Studies in Asia Conference，並發表論文，會後和與會學者進行學術交流。</t>
  </si>
  <si>
    <t>105/06/23-105/06/29</t>
  </si>
  <si>
    <t>105/08/25-105/08/27</t>
  </si>
  <si>
    <t>105/07/23-105/08/09</t>
  </si>
  <si>
    <t>濱松(Hamamatsu) 名古屋(Nagoya)</t>
  </si>
  <si>
    <t>105/05/03-105/05/18</t>
  </si>
  <si>
    <t>Dubrovnik</t>
  </si>
  <si>
    <t>105/05/25-105/05/31</t>
  </si>
  <si>
    <t>105/05/18-105/06/05</t>
  </si>
  <si>
    <t>關島(Guam)</t>
  </si>
  <si>
    <t>105/01/26-105/01/30</t>
  </si>
  <si>
    <t>105/05/01-105/05/10</t>
  </si>
  <si>
    <t>105/05/02-105/05/11</t>
  </si>
  <si>
    <t>105/11/10-105/11/13</t>
  </si>
  <si>
    <t>台灣茶文化的新創及其全球化_MOST105-2410-H-001-080-MY3</t>
  </si>
  <si>
    <t>105/10/14-105/10/24</t>
  </si>
  <si>
    <t>New Creative Networks of the Pacific Rim:Art Toys and Local Comics Scenes_MOST105-2410-H-001-082-MY3</t>
  </si>
  <si>
    <t>105/11/13-105/12/03</t>
  </si>
  <si>
    <t>明尼亞波里斯(Minneapolis, Minnesota) 奧斯丁(Austin, Texas)</t>
  </si>
  <si>
    <t>105/12/01-105/12/04</t>
  </si>
  <si>
    <t>105/12/10-105/12/16</t>
  </si>
  <si>
    <t>清代學術思想史的一個新觀察-學統重建與知識分化_MOST 103-2410-H-001-077-MY3</t>
  </si>
  <si>
    <t>清代喀爾喀蒙古的財政_MOST 104-2410-H-001-044-MY2</t>
  </si>
  <si>
    <t>105/06/23-105/06/28</t>
  </si>
  <si>
    <t>痰的管理與其現代轉化: 以物質史為中心重探衛生現代性_MOST 104-2410-H-001-045-MY3</t>
  </si>
  <si>
    <t>科技部補助國內學者出席國際會議</t>
  </si>
  <si>
    <t>傷殘保險及景氣循環：結構估計與分析_MOST 104-2410-H-001-091-MY2</t>
  </si>
  <si>
    <t>模型平均法的統計推論_MOST 104-2410-H-001-092-MY2</t>
  </si>
  <si>
    <t>市場非流動性：模型與應用_MOST 104-2410-H-001-012-MY2</t>
  </si>
  <si>
    <t>環保管制，Poter假說及內 性市場結構：一個總體的 點_MOST 104-2410-H-001-013</t>
  </si>
  <si>
    <t>GARCH分量迴歸之半參數估計：風險與收益關係的應用_MOST 104-2410-H-001-021-MY2</t>
  </si>
  <si>
    <t>105/08/07-105/08/15</t>
  </si>
  <si>
    <t>教育對健康及生育的影響_NSC102-2410-H-001-002-MY3</t>
  </si>
  <si>
    <t>離散時間數列資料的預測研究_MOST 104-2410-H-001-006</t>
  </si>
  <si>
    <t>105/08/11-105/08/14</t>
  </si>
  <si>
    <t>德國(Germany) 丹麥(Denmark)</t>
  </si>
  <si>
    <t>105-2914-I-001-040-A1/日本京都AMES2016</t>
  </si>
  <si>
    <t>105/08/10-105/08/13</t>
  </si>
  <si>
    <t>後記憶：歐大旭與陳團榮的小說（III-III)_104-2410-H-001-061</t>
  </si>
  <si>
    <t>105/04/19-105/05/04</t>
  </si>
  <si>
    <t>邁阿密(Miami,Florida) 紐約市(New York,New York)</t>
  </si>
  <si>
    <t>外交部補助其他政府機關或團體國際會議及交流</t>
  </si>
  <si>
    <t>雙曲轉換時空獨立成份分析法及其在高密度腦電訊息源造影之應用_MOST 104-2118-M-001-012</t>
  </si>
  <si>
    <t>參加 The 39th Annual Meeting of the Japan Neuroscience Society</t>
  </si>
  <si>
    <t>105/07/20-105/07/24</t>
  </si>
  <si>
    <t>物理,生物和電腦實驗設計,分析及最佳化的近期發展_MOST 105-2118-M-001-007-MY2</t>
  </si>
  <si>
    <t>受邀赴美國出席AISC 2016和於會中發表演講, 並順道前往Illinois Institute of Technology, University of Illinois at Chicago, University of California at Los Angeles等作研究訪問, 並受邀於所內發表演講.</t>
  </si>
  <si>
    <t>105/09/22-105/10/10</t>
  </si>
  <si>
    <t>Greensboro, North Carolina 芝加哥(Chicago,Illinois) 洛杉磯(Los Angeles,California)</t>
  </si>
  <si>
    <t>The 66th Annual Meeting of American Society of Human Genetics and presenting our work</t>
  </si>
  <si>
    <t>105/10/17-105/10/25</t>
  </si>
  <si>
    <t>受邀赴英國University of Southampton作研究訪問, 和順道赴西班牙出席COMPSTAT 2016, 並受邀主持場次和發表演講.</t>
  </si>
  <si>
    <t>105/08/19-105/09/12</t>
  </si>
  <si>
    <t>西班牙(Spain) 英國(United Kingdom)</t>
  </si>
  <si>
    <t>Oviedo Southampton</t>
  </si>
  <si>
    <t>高維迴歸模型中的群組與變數選擇：理論，方法與應用_MOST 104-2118-M-001-010-MY2</t>
  </si>
  <si>
    <t>計畫名稱: 高維度迴歸模型中的群組與變數選擇:理論,方法與應用 內容: 高維統計之進階研究</t>
  </si>
  <si>
    <t>105/02/28-105/03/09</t>
  </si>
  <si>
    <t>東京(Tokyo) 熊本(Kumamoto) 鹿兒島(Kagoshima)</t>
  </si>
  <si>
    <t>自然啟發和大模規系統最佳化及其應用於統計，自然科學和大數據分析_MOST 104-2118-M-001-016-MY2</t>
  </si>
  <si>
    <t>105/03/04-105/03/08</t>
  </si>
  <si>
    <t>北九州(Kitakyushu)</t>
  </si>
  <si>
    <t>國際統計學會理事會會務之執行(1/3)-補助學者提昇國際影響力_MOST 105-2911-I-001-510</t>
  </si>
  <si>
    <t>105/05/10-105/05/15</t>
  </si>
  <si>
    <t>摩洛哥(Morocco)</t>
  </si>
  <si>
    <t>馬拉喀什(Marrakech)</t>
  </si>
  <si>
    <t>104/12/12-105/01/01</t>
  </si>
  <si>
    <t>澳大利亞(Australia) 新加坡(Singapore)</t>
  </si>
  <si>
    <t>雪梨(Sydney) 新加坡(Singapore)</t>
  </si>
  <si>
    <t>針對快速演化與異質腫瘤組合療法的設計_MOST 103-2118-M-001-011-MY2</t>
  </si>
  <si>
    <t>Attending the Pacific Symposium on Biocomputing (PSB) 2016.</t>
  </si>
  <si>
    <t>104/12/31-105/01/15</t>
  </si>
  <si>
    <t>Kona</t>
  </si>
  <si>
    <t>105/10/09-105/10/27</t>
  </si>
  <si>
    <t>古巴(Cuba) 美國(U.S.A.)</t>
  </si>
  <si>
    <t>Varadero 劍橋(Cambridge,Massachusetts)</t>
  </si>
  <si>
    <t>Attending the 13th International Congress of Human Genetics (ICHG2016) in Kyoto, Japan.</t>
  </si>
  <si>
    <t>105/04/02-105/04/08</t>
  </si>
  <si>
    <t>衰變資料具有量測誤差之研究_MOST 104-2118-M-001-007</t>
  </si>
  <si>
    <t>赴大陸成都研究訪問、參加大陸九寨溝 2016 QR2MSE &amp; WCEAM 國際研討會及參加美國芝加哥 JSM 2016 國際研討會</t>
  </si>
  <si>
    <t>105/07/17-105/08/07</t>
  </si>
  <si>
    <t>芝加哥(Chicago,Illinois) 成都(Chengdu) 九寨溝</t>
  </si>
  <si>
    <t>105/06/24-105/07/09</t>
  </si>
  <si>
    <t>瑞士(Switzerland) 英國(United Kingdom)</t>
  </si>
  <si>
    <t>日內瓦(Geneva) 劍橋(Cambridge)</t>
  </si>
  <si>
    <t>美國參加2016年國際心理計量學會年會(IMPS 2016)並發表學術演講。</t>
  </si>
  <si>
    <t>Asheville, NC</t>
  </si>
  <si>
    <t>參加 COMPSTAT2016</t>
  </si>
  <si>
    <t>Oviedo</t>
  </si>
  <si>
    <t>105/07/16-105/07/29</t>
  </si>
  <si>
    <t>參加 2016 Joint Statistical Meetings - Chicago, Illinois</t>
  </si>
  <si>
    <t>105/07/30-105/08/07</t>
  </si>
  <si>
    <t>105/06/09-105/06/23</t>
  </si>
  <si>
    <t>Avignon 巴勒摩(Palermo)</t>
  </si>
  <si>
    <t>Attend 22nd International Conference on COMPUTATIONAL STATISTICS (COMPSTAT 2016) held at Oviedo, Spain.</t>
  </si>
  <si>
    <t>赴日本金澤出席Japanese Joint Statistical Meeting 2016並發表演講</t>
  </si>
  <si>
    <t>105/09/04-105/09/10</t>
  </si>
  <si>
    <t>到美國紐約哥倫比亞大學參加 2016 NBER-NSF Time Series Conference，並發表學術論文。</t>
  </si>
  <si>
    <t>105/09/15-105/09/19</t>
  </si>
  <si>
    <t>受邀參加CMStatistics 2016 並給演講</t>
  </si>
  <si>
    <t>105/12/03-105/12/17</t>
  </si>
  <si>
    <t>Seville</t>
  </si>
  <si>
    <t>Tweedie過程之衰變模型_MOST 105-2118-M-001-002</t>
  </si>
  <si>
    <t>受邀出席 The 2nd Pacific Rim Statistical Conference for Production Engineering 國際研討會</t>
  </si>
  <si>
    <t>105/12/14-105/12/17</t>
  </si>
  <si>
    <t>複雜數據之分析-理論、方法及應用－複雜數據之分析-理論、方法及應用(1/4)_MOST 105-2119-M-001-035</t>
  </si>
  <si>
    <t>高維複雜資料分析在製造工程之應用</t>
  </si>
  <si>
    <t>赴School of Mathematics and Applied Statistics, University of Wollongong移地研究，並順道出席「澳洲統計年會」</t>
  </si>
  <si>
    <t>105/11/26-105/12/09</t>
  </si>
  <si>
    <t>坎培拉(Canberra) 臥龍崗</t>
  </si>
  <si>
    <t>MOST105-2914-I-001-009-A1</t>
  </si>
  <si>
    <t>105/03/09-105/03/17</t>
  </si>
  <si>
    <t>Fort Lauderdale</t>
  </si>
  <si>
    <t>105/08/06-105/08/14</t>
  </si>
  <si>
    <t>105/07/17-105/07/29</t>
  </si>
  <si>
    <t>105/07/01-105/07/14</t>
  </si>
  <si>
    <t>105/04/09-105/04/22</t>
  </si>
  <si>
    <t>105/05/26-105/06/02</t>
  </si>
  <si>
    <t>茵斯布魯克(Innsbruck)</t>
  </si>
  <si>
    <t>105/04/09-105/04/13</t>
  </si>
  <si>
    <t>105/03/22-105/03/25</t>
  </si>
  <si>
    <t>105年9月24日至9月28日，出席於中國北京舉行的【2016國際生理科學會議及會前討論會】</t>
  </si>
  <si>
    <t>105/09/23-105/09/29</t>
  </si>
  <si>
    <t>立陶宛(Lithuania)</t>
  </si>
  <si>
    <t>柏克萊(Brkeley, California)</t>
  </si>
  <si>
    <t>國家型生技醫藥國際合作推動計畫V_MOST105-2325-B-169-001</t>
  </si>
  <si>
    <t>105/01/20-105/01/22</t>
  </si>
  <si>
    <t>105/09/20-105/09/28</t>
  </si>
  <si>
    <t>105/09/26-105/09/30</t>
  </si>
  <si>
    <t>105/10/25-105/10/29</t>
  </si>
  <si>
    <t>105/11/12-105/11/20</t>
  </si>
  <si>
    <t>105/11/11-105/11/19</t>
  </si>
  <si>
    <t>105/12/01-105/12/10</t>
  </si>
  <si>
    <t>Enabling Lightwave Electronics with Nanotechnology: Synthesizing Attosecond Waveforms from F..._FA2386-10-1-4046</t>
  </si>
  <si>
    <t>1.參加第25屆國際原子物理研討會(ICAP2016) 2.發表學術演講</t>
  </si>
  <si>
    <t>105/07/24-105/07/29</t>
  </si>
  <si>
    <t>1. 赴美國參加分子光譜學國際研討會及給予口頭報告 2. 赴加拿大英屬哥倫比亞大學參加第21屆量子系統化學物理生物國際研討會及給予口頭報告</t>
  </si>
  <si>
    <t>105/06/18-105/07/10</t>
  </si>
  <si>
    <t>CHAMPAIGN-URBANA, ILLINOIS 溫哥華(Vancouver)(05/01-10/15)</t>
  </si>
  <si>
    <t>質子的量子行為(1/3)_MOST 104-2113-M-001-017</t>
  </si>
  <si>
    <t>赴日本參加The 32nd Symposium on Chemical Kinetics and Dynamics會議及受邀演講</t>
  </si>
  <si>
    <t>105/05/29-105/06/05</t>
  </si>
  <si>
    <t>埼玉市 東京(Tokyo) 橫濱(Yokohama)</t>
  </si>
  <si>
    <t>EIT機制的光子記憶體於量 資訊操控之應用－建構EIT 儲存機制的量子相位(2/4)_MOST 104-2119-M-001-002</t>
  </si>
  <si>
    <t>參加2016之ICAP國際會議及ICAP暑期學校。</t>
  </si>
  <si>
    <t>表面增強拉曼光譜之基礎研究與生醫應用－總計畫：表面增強拉曼光譜之基礎研究與生醫應用(3/4)_MOST 104-2628-M-001-009</t>
  </si>
  <si>
    <t>赴希臘參加第13屆奈米科學與奈米科技國際研討會並發表研究成果</t>
  </si>
  <si>
    <t>105/07/04-105/07/19</t>
  </si>
  <si>
    <t>塞薩羅尼基(Thessaloniki)</t>
  </si>
  <si>
    <t>鹵化苯乙烯的光譜與取代效應_MOST 104-2113-M-001-014</t>
  </si>
  <si>
    <t>赴美參加第71屆國際分子光譜研討會(USA/Champaign-Urbana, Illinois, 20160620-24)。</t>
  </si>
  <si>
    <t>105/06/17-105/07/08</t>
  </si>
  <si>
    <t>Champaign-Urbana, Illinois</t>
  </si>
  <si>
    <t>赴希臘Thessaloniki參加第13屆奈米科學與奈米科技國際研討會並發表研究成果</t>
  </si>
  <si>
    <t>105/06/17-105/07/03</t>
  </si>
  <si>
    <t>會議上探討核酸在生命工程研究上的重要性，可以來自世界各國的學者專家共同討論交流，促進研究的發展。</t>
  </si>
  <si>
    <t>105/07/05-105/07/17</t>
  </si>
  <si>
    <t>瞬態多原子分子光譜研究──鍵能及幾何結構_MOST 104-2113-M-001-022</t>
  </si>
  <si>
    <t>Champaign-Urbana</t>
  </si>
  <si>
    <t>超連續光源:產生與應用_MOST 104-2112-M-001-033</t>
  </si>
  <si>
    <t>1. 參加2016年雷射與光電學術研討會。 2. 指導黃旆齊、石偉倫發表論文，及出席相關領域的成果發表。</t>
  </si>
  <si>
    <t>105/06/05-105/06/11</t>
  </si>
  <si>
    <t>電漿內原子之物理特質理論研究_MOST 104-2112-M-001-032</t>
  </si>
  <si>
    <t>參加第47屆原子分子和光學物理年會</t>
  </si>
  <si>
    <t>105/05/22-105/06/05</t>
  </si>
  <si>
    <t>Providence, Rhode Island</t>
  </si>
  <si>
    <t>參加2016年世界智慧材料大會, 並發表有機生醫材料檢測應用之相關論文, 與國際相關領域人員分享我們在生醫材料奈米級電顯技術檢測的先進成果.</t>
  </si>
  <si>
    <t>105/03/02-105/03/05</t>
  </si>
  <si>
    <t>赴新加坡參加能量.材料.奈米技術及光相互作用國際會議 The EMN Meeting on Light-Matter Interactions 2016</t>
  </si>
  <si>
    <t>105/05/08-105/05/15</t>
  </si>
  <si>
    <t>強場雷射在極紫外光源、粒子加速器、實驗室天文物理上的應用－雷射電漿交互作用應用於粒子加速器的控制和優化_MOST 104-2112-M-001-030-MY3</t>
  </si>
  <si>
    <t>1. 第十屆亞太雷射研討會 2. 應邀出席會議並給予演講</t>
  </si>
  <si>
    <t>105/05/10-105/05/14</t>
  </si>
  <si>
    <t>赴美國阿布奎基新墨西哥大學受邀參加第28屆電子結構理論近代發展年會及給予演講</t>
  </si>
  <si>
    <t>105/06/25-105/07/01</t>
  </si>
  <si>
    <t>Albuquerque</t>
  </si>
  <si>
    <t>以奈米鑽石之氮-空缺中心 行奈米感測與顯影成像(2/4)_MOST 104-2119-M-001-001</t>
  </si>
  <si>
    <t>接受邀請赴日本參加應用物理學會秋季學術演講會並給予演講</t>
  </si>
  <si>
    <t>105/09/12-105/09/16</t>
  </si>
  <si>
    <t>表面增強拉曼光譜之基礎研究與生醫應用－總計畫：表面增強拉曼光譜之基礎研究與生醫應用(4/4)_MOST 105-2628-M-001-001</t>
  </si>
  <si>
    <t>赴美國聖地牙哥參加2016 SPIE光電工程研討會:奈米科學及工程並發表論文</t>
  </si>
  <si>
    <t>105/08/27-105/09/05</t>
  </si>
  <si>
    <t>1.赴印度清奈出席The Asian Consortium on Computational Materials Science (ACCMS)及受邀演講 2.赴印度Madurai參加Lecture Workshop on Advanced Materials Engineering及給予演講</t>
  </si>
  <si>
    <t>清奈(Chennai) Madurai</t>
  </si>
  <si>
    <t>1.赴加拿大參加國際會議(COFIL2016) 2.以海報展示研究成果</t>
  </si>
  <si>
    <t>105/09/03-105/09/14</t>
  </si>
  <si>
    <t>魁北克(Quebec)</t>
  </si>
  <si>
    <t>奈米材料之量子導電度之計算_MOST 104-2113-M-001-020</t>
  </si>
  <si>
    <t>赴美參加理論及應用計算化學會議TACC 2016, Theory and Applications of Computational Chemistry</t>
  </si>
  <si>
    <t>105/08/18-105/09/06</t>
  </si>
  <si>
    <t>超連續光源:產生與應用（二）_MOST 105-2112-M-001-030</t>
  </si>
  <si>
    <t>赴加拿大參加國際研討會(COFIL2016)並以演講方式發表論文</t>
  </si>
  <si>
    <t>105/09/04-105/09/12</t>
  </si>
  <si>
    <t>赴美國參加Telluride Advanced Particle Imaging Techniques conference，並於會後前往參觀史丹佛直線加速器</t>
  </si>
  <si>
    <t>105/08/05-105/08/22</t>
  </si>
  <si>
    <t>Mountain Village 史丹佛(Stanford,California)</t>
  </si>
  <si>
    <t>臺印(IN)國合計畫--矽錫化鎂及矽錫合金的熱電特性研究_MOST 104-2923-M-001-005-MY3</t>
  </si>
  <si>
    <t>前往印度參加電力工程尖端材料國際會議</t>
  </si>
  <si>
    <t>105/11/05-105/11/16</t>
  </si>
  <si>
    <t>科特塔耶姆 新德里(New Delhi) 斎浦爾</t>
  </si>
  <si>
    <t>赴日本神戶出席第十屆日本分子科學討論會及給予口頭報告</t>
  </si>
  <si>
    <t>赴英國倫敦參加英國皇家化學會第六屆編審委員會議</t>
  </si>
  <si>
    <t>105/02/26-105/03/01</t>
  </si>
  <si>
    <t>參加2016年第12屆國際低能量反質子物理學會議</t>
  </si>
  <si>
    <t>105/03/05-105/03/14</t>
  </si>
  <si>
    <t>整合有機-金屬之鹵化物之鈣鈦礦型結構半導體奈米結構及元件之光學特性研究_MOST 103-2112-M-001-020-MY3</t>
  </si>
  <si>
    <t>參加美國物理年會三月會議(APS March Meeting 2016)並發表研究成果。</t>
  </si>
  <si>
    <t>參加 第96屆日本化學年會</t>
  </si>
  <si>
    <t>105/03/25-105/03/27</t>
  </si>
  <si>
    <t>以奈米鑽石之氮-空缺中心進行奈米感測與顯影成像(2/4)_MOST 104-2119-M-001-001</t>
  </si>
  <si>
    <t>參加美國材料學會春季會議邀請演講,論文題目為Magnetically Modulated Fluorescence of Nitrogen-Vacancy Centers for Slective Imaging and Quantification of Nanodiamonds in Biological Samples</t>
  </si>
  <si>
    <t>105/03/27-105/04/03</t>
  </si>
  <si>
    <t>應邀第七屆台日奈米醫學會議 (7th Japan-Taiwan Symposium on Nanomedicine)發表演講，報告本計畫之研究成果。</t>
  </si>
  <si>
    <t>105/01/20-105/01/25</t>
  </si>
  <si>
    <t>赴克羅埃西亞參加2016年EMN超材料會議並發表演講</t>
  </si>
  <si>
    <t>105/05/06-105/05/13</t>
  </si>
  <si>
    <t>赴美國參加2016戈登會議及給予口頭報告</t>
  </si>
  <si>
    <t>105/01/17-105/01/23</t>
  </si>
  <si>
    <t>參加美國加州聖地牙哥舉行SLAS 2016 實驗室自動化與篩選學會國際會議.</t>
  </si>
  <si>
    <t>105/01/24-105/01/29</t>
  </si>
  <si>
    <t>第九屆亞洲光化學會議 To attend the Asian Photochemistry Conference (APC) as a plenary speaker</t>
  </si>
  <si>
    <t>105/12/04-105/12/08</t>
  </si>
  <si>
    <t>前往美國夏威夷參加電化學國際會議</t>
  </si>
  <si>
    <t>105/10/01-105/10/12</t>
  </si>
  <si>
    <t>台以低溫量子物理學專題討論及會後交流訪問</t>
  </si>
  <si>
    <t>赴以色列出席台以低溫量子物理學專題討論及會後交流訪問</t>
  </si>
  <si>
    <t>105/07/09-105/07/15</t>
  </si>
  <si>
    <t>以桿狀病毒建構H7N9流感的假性病毒並以進行藥物篩選及激發單多源抗體-以桿狀病毒建構H7N9的假性流感病毒並改進血球凝集素及唾液_MOST 105-2321-B-001-024</t>
  </si>
  <si>
    <t>硝酸鹽感應動態變化的分子機制(2/5)_MOST 104-2321-B-001-022 -</t>
  </si>
  <si>
    <t>105/06/28-105/07/06</t>
  </si>
  <si>
    <t>剪接因子在剪接反應及反應準確度的調控(2/5)_MOST 104-2321-B-001-068 -</t>
  </si>
  <si>
    <t>105/06/27-105/07/07</t>
  </si>
  <si>
    <t>酵母菌變性蛋白之結構與遺傳(二)_MOST 104-2311-B-001-004 -</t>
  </si>
  <si>
    <t>105/05/09-105/05/14</t>
  </si>
  <si>
    <t>PRAP1在脂肪轉運及小腸癌化之功能及作用機轉研究_NSC 102-2311-B-001-024-MY3</t>
  </si>
  <si>
    <t>105/05/27-105/06/03</t>
  </si>
  <si>
    <t>調控HIF-1α主導之細胞免疫力：免疫耐容性及發炎性自體免疫反應之決定(3/5)_MOST 104-2321-B-001-067 -</t>
  </si>
  <si>
    <t>105/05/12-105/05/21</t>
  </si>
  <si>
    <t>105/05/12-105/06/01</t>
  </si>
  <si>
    <t>研究痘病毒壓先天免疫反應以抗拒寄主限制病毒生長之機制（2/3)_MOST 105-2321-B-001-026</t>
  </si>
  <si>
    <t>105/06/29-105/07/08</t>
  </si>
  <si>
    <t>Bischoffsheim</t>
  </si>
  <si>
    <t>105/04/24-105/05/03</t>
  </si>
  <si>
    <t>Liege</t>
  </si>
  <si>
    <t>105/06/22-105/07/03</t>
  </si>
  <si>
    <t>TDP-43蛋白在神經功能與神經退化性疾病中的角色及分子機制_MOST 104-2311-B-001 -018 -MY3</t>
  </si>
  <si>
    <t>105/08/23-105/09/02</t>
  </si>
  <si>
    <t>105/07/26-105/08/01</t>
  </si>
  <si>
    <t>參與DNA複製再起始的DnaB, DnaD及NrdR 蛋白質的結構及功能研究_MOST 104-2311-B-001 -016 -MY3</t>
  </si>
  <si>
    <t>105/06/22-105/06/26</t>
  </si>
  <si>
    <t>參與RNA剪接的Cwc23, Ntrl, Ntr2, Prp43及Brr2蛋白質的結構及功能研究_MOST 104-2311-B-001 -012 -MY3</t>
  </si>
  <si>
    <t>105/07/15-105/07/28</t>
  </si>
  <si>
    <t>105/12/04-105/12/09</t>
  </si>
  <si>
    <t>105/10/23-105/10/29</t>
  </si>
  <si>
    <t>維科埃昆塞(vico Equense)</t>
  </si>
  <si>
    <t>台灣腦科學前瞻規劃_MOST 105-2321-B-001-057 -</t>
  </si>
  <si>
    <t>105/11/10-105/11/15</t>
  </si>
  <si>
    <t>105/11/11-105/11/17</t>
  </si>
  <si>
    <t>105/10/23-105/11/11</t>
  </si>
  <si>
    <t>維科埃昆塞 (Vico Equense)</t>
  </si>
  <si>
    <t>105/11/05-105/11/13</t>
  </si>
  <si>
    <t>以IE2和p143複製原點研究桿狀病毒建立高效率轉錄及複製的機制(2/3)_MOST 105-2321-B-001-040 -</t>
  </si>
  <si>
    <t>105/09/24-105/10/05</t>
  </si>
  <si>
    <t>促進人類長壽/青春/抗癌的新穎醫藥研發合作研究計畫_13A-1030813-7C</t>
  </si>
  <si>
    <t>105/09/10-105/09/27</t>
  </si>
  <si>
    <t>Pacific Grove 舊金山(San Francisco,California) 聖地牙哥(San Diego,California)</t>
  </si>
  <si>
    <t>使用動物模式研究類固醇的新功能(3/5)_MOST 105-2321-B-001-014 -</t>
  </si>
  <si>
    <t>105/10/01-105/10/07</t>
  </si>
  <si>
    <t>駕馭胚胎幹細胞分化成各式運動神經元亞型並剖析亞型分化之分子機制_MOST 104-2311-B-001 -030 -MY3</t>
  </si>
  <si>
    <t>重組分子組織與蛋白脢動態於跨軸突起始段(1/2)_MOST 104-2321-B-001-065 -</t>
  </si>
  <si>
    <t>Santa Fe</t>
  </si>
  <si>
    <t>分子與蛋白脢於神經軸突起始段的重組與動力學_MOST 104-2311-B-001 -013 -MY3</t>
  </si>
  <si>
    <t>硝酸鹽感應動態變化的分子機制(3/5)_MOST 105-2321-B-001-012 -</t>
  </si>
  <si>
    <t>植物缺糖訊息傳遞與基因調控的分子機制(4/5)_MOST 104-2321-B-001-003 -</t>
  </si>
  <si>
    <t>105/07/08-105/07/23</t>
  </si>
  <si>
    <t>Annapolis</t>
  </si>
  <si>
    <t>痘病毒粒子之醣科學研究(1/3)_MOST 104-2321-B-001-069 -</t>
  </si>
  <si>
    <t>105/06/29-105/07/15</t>
  </si>
  <si>
    <t>Bischoffsheim Illkirch</t>
  </si>
  <si>
    <t>105/08/30-105/09/08</t>
  </si>
  <si>
    <t>Crete</t>
  </si>
  <si>
    <t>105/07/16-105/07/30</t>
  </si>
  <si>
    <t>表現型穩定性的機制和演化(1/5)_MOST 104-2321-B-001-058 -</t>
  </si>
  <si>
    <t>105/10/16-105/10/24</t>
  </si>
  <si>
    <t>105/09/11-105/09/23</t>
  </si>
  <si>
    <t>105-2914-I-001-031-A1/簡瑜赴義大利參加EBEC 2016-The 19th European Bioenergetics Conference</t>
  </si>
  <si>
    <t>105/07/01-105/07/12</t>
  </si>
  <si>
    <t>Riva del Gard</t>
  </si>
  <si>
    <t>赴美出席"國際腦科學研討會"</t>
  </si>
  <si>
    <t>105/09/16-105/09/21</t>
  </si>
  <si>
    <t>太平洋鄰里協會2016年年會暨聯合會議</t>
  </si>
  <si>
    <t>本會為少數由台灣主導之國際性協會，著重於資訊共享與交換，對促進國際合作及提升台灣學術與外交地位有正面之意義，本年度將針對資訊科技與人文合作領域、虛擬文化資訊管理、文化遺產資訊共享等議題進行討論與交流。</t>
  </si>
  <si>
    <t>105/07/21-105/08/21</t>
  </si>
  <si>
    <t>105/08/15-105/08/20</t>
  </si>
  <si>
    <t>太平洋鄰里協會 2016年年會暨聯合會議</t>
  </si>
  <si>
    <t>105/08/15-105/08/22</t>
  </si>
  <si>
    <t>105/01/24-105/01/30</t>
  </si>
  <si>
    <t>法國(France) 美國(U.S.A.) 義大利(Italy)</t>
  </si>
  <si>
    <t>105/12/11-105/12/18</t>
  </si>
  <si>
    <t>帕莎蒂娜(Pasadena, California)</t>
  </si>
  <si>
    <t>105/06/17-105/07/06</t>
  </si>
  <si>
    <t>Breckenridge, CO Irvine</t>
  </si>
  <si>
    <t>105/10/02-105/10/08</t>
  </si>
  <si>
    <t>105/10/02-105/10/11</t>
  </si>
  <si>
    <t>105/07/23-105/07/31</t>
  </si>
  <si>
    <t>105/06/19-105/06/25</t>
  </si>
  <si>
    <t>Trieste</t>
  </si>
  <si>
    <t>105/04/10-105/04/14</t>
  </si>
  <si>
    <t>105/04/16-105/05/03</t>
  </si>
  <si>
    <t>美屬波多黎各(U.S. Puerto Rico) 美國(U.S.A.)</t>
  </si>
  <si>
    <t>美屬波多黎各(U.S. Puerto Rico) 紐澤西(New Jersey)</t>
  </si>
  <si>
    <t>105/04/16-105/05/11</t>
  </si>
  <si>
    <t>美屬波多黎各(U.S. Puerto Rico) Princeton, NJ</t>
  </si>
  <si>
    <t>科技部104年度（第53屆）補助科學與技術人員國外短期研究(補助編號：104-2918-I-001-002)</t>
  </si>
  <si>
    <t>104/10/28-105/06/22</t>
  </si>
  <si>
    <t>105/12/11-105/12/20</t>
  </si>
  <si>
    <t>105/02/21-105/02/28</t>
  </si>
  <si>
    <t>石灰岩植物之種化機制研究_MOST 103-2621-B-001-008-MY3</t>
  </si>
  <si>
    <t>105/06/18-105/07/04</t>
  </si>
  <si>
    <t>愛爾蘭(Ireland) 德國(Germany)</t>
  </si>
  <si>
    <t>接收者視角下的中古文學——以發送者/接收者/信號為中心_MOST 105-2410-H-001-103</t>
  </si>
  <si>
    <t>女體與國體的現代性建構（V）：1900-1937年女體的強化/頹敗與國體的構建/破裂_MOST 104-2410-H-001-081-</t>
  </si>
  <si>
    <t>民眾之「忠」：晚明出版文化與忠觀的通俗化_MOST 104-2410-H-001-076-</t>
  </si>
  <si>
    <t>知識、文學技藝與歷史感性：「靖難」視野下的中國與海外_MOST 105-2628-H-001-006-MY3</t>
  </si>
  <si>
    <t>105/09/19-105/09/30</t>
  </si>
  <si>
    <t>美國(U.S.A.) 日本(Japan)</t>
  </si>
  <si>
    <t>印第安維爾斯(Indian Wells) 東京(Tokyo) 筑波市</t>
  </si>
  <si>
    <t>Atacama大型毫米/次毫米波陣列(ALMA)-臺灣計畫(1/3)_MOST 105-2119-M-001-042-</t>
  </si>
  <si>
    <t>105/09/27-105/09/30</t>
  </si>
  <si>
    <t>銀河系中心的動力學_MOST 105-2112-M-001-025-MY3</t>
  </si>
  <si>
    <t>尋找Ia型超新星起源的線索_MOST 104-2112-M-001-044-MY3</t>
  </si>
  <si>
    <t>105/09/26-105/10/01</t>
  </si>
  <si>
    <t>105/09/19-105/10/02</t>
  </si>
  <si>
    <t>印第安維爾斯(Indian Wells) 索科羅(Socorro)</t>
  </si>
  <si>
    <t>105/09/08-105/09/26</t>
  </si>
  <si>
    <t>原恆星的物理與化學演化_MOST 104-2119-M-001-016-</t>
  </si>
  <si>
    <t>105/09/17-105/10/03</t>
  </si>
  <si>
    <t>美國(U.S.A.) 南韓(Korea)</t>
  </si>
  <si>
    <t>印第安維爾斯(Indian Wells) 首爾(Seoul)</t>
  </si>
  <si>
    <t>透過星系演化的數值模擬探索宇宙塵埃的起源_MOST 105-2112-M-001-027-MY3</t>
  </si>
  <si>
    <t>105/08/14-105/08/21</t>
  </si>
  <si>
    <t>仙台市(Sendai)</t>
  </si>
  <si>
    <t>揭密缺失的寒冷星塵質量：星系中行星狀星雲之氣體塵埃組成的精確模型_MOST 104-2112-M-001-041-MY3</t>
  </si>
  <si>
    <t>105/08/07-105/08/21</t>
  </si>
  <si>
    <t>墨西哥城(Mexico City)</t>
  </si>
  <si>
    <t>高解析度觀測研究原恆星周邊氣體吸積現象_MOST 104-2119-M-001-017-</t>
  </si>
  <si>
    <t>105/08/05-105/08/16</t>
  </si>
  <si>
    <t>漢諾瓦(Hanover)</t>
  </si>
  <si>
    <t>用次毫米望遠鏡首度觀測黑洞剪影_MOST 104-2112-M-001-019-</t>
  </si>
  <si>
    <t>105/08/20-105/08/26</t>
  </si>
  <si>
    <t>105/08/14-105/08/20</t>
  </si>
  <si>
    <t>以多波段觀測研究恆星與行星形成(IV)_MOST 104-2119-M-001-018-</t>
  </si>
  <si>
    <t>105/03/12-105/03/22</t>
  </si>
  <si>
    <t>105/03/31-105/04/09</t>
  </si>
  <si>
    <t>薛倫斯維爾(Charlottesville)</t>
  </si>
  <si>
    <t>105/03/09-105/03/18</t>
  </si>
  <si>
    <t>105/06/03-105/06/13</t>
  </si>
  <si>
    <t>剖析星系及所處暗物質暈之關聯_MOST 104-2112-M-001-047-</t>
  </si>
  <si>
    <t>105/04/30-105/05/08</t>
  </si>
  <si>
    <t>105/05/28-105/06/06</t>
  </si>
  <si>
    <t>馬拉加(Malaga)</t>
  </si>
  <si>
    <t>高溫操作量子點紅外線偵測器陣列及其電子傳輸特性研究_NSC 102-2112-M-001-020-MY3</t>
  </si>
  <si>
    <t>105/06/25-105/07/08</t>
  </si>
  <si>
    <t>105/06/25-105/07/09</t>
  </si>
  <si>
    <t>105/07/02-105/07/10</t>
  </si>
  <si>
    <t>105/06/24-105/07/05</t>
  </si>
  <si>
    <t>105/06/04-105/06/20</t>
  </si>
  <si>
    <t>烏普薩拉(Uppsala)</t>
  </si>
  <si>
    <t>105/07/24-105/07/30</t>
  </si>
  <si>
    <t>偏極化光與磁場在不同尺度下的研究：從ALMA陣列到JCMT天線_MOST 104-2119-M-001-019-MY3</t>
  </si>
  <si>
    <t>105/07/17-105/07/24</t>
  </si>
  <si>
    <t>凱恩斯(Cairns)</t>
  </si>
  <si>
    <t>行星和原始行星盤的潮汐交互作用_MOST 104-2112-M-001-011-</t>
  </si>
  <si>
    <t>達弗斯(Davos)(3/10-12/20) 維也納(Vienna) 伯恩(Bern)</t>
  </si>
  <si>
    <t>105/05/16-105/05/29</t>
  </si>
  <si>
    <t>麥迪遜(Madison) 索科羅(Socorro)</t>
  </si>
  <si>
    <t>105/05/08-105/05/12</t>
  </si>
  <si>
    <t>斯利那加(Srinagar)</t>
  </si>
  <si>
    <t>105/04/02-105/04/12</t>
  </si>
  <si>
    <t>105/10/15-105/11/05</t>
  </si>
  <si>
    <t>帕莎蒂娜(Pasadena, California) 夏威夷州(State of Hawaii)</t>
  </si>
  <si>
    <t>105/10/15-105/10/25</t>
  </si>
  <si>
    <t>105/10/15-105/10/23</t>
  </si>
  <si>
    <t>跨政權下帝國的協力商與臺灣南北城市商人勢力的競爭：以清末至日治初期臺南和臺北的郊商為中心_MOST105-2410-H-001-059-MY3</t>
  </si>
  <si>
    <t>105/03/02-105/03/06</t>
  </si>
  <si>
    <t>長崎(Nagasaki)</t>
  </si>
  <si>
    <t>105/04/12-105/04/18</t>
  </si>
  <si>
    <t>流亡、知識與記憶：台灣「中國現代化」的社會學研究中的日本殖民統治，1960年代-1980年代_MOST 104-2410-H-001-059</t>
  </si>
  <si>
    <t>105/04/12-105/04/14</t>
  </si>
  <si>
    <t>105年度人文及社會科學學術人才跨國培育計畫辦公室_臺教資(一)字第1050033735B號</t>
  </si>
  <si>
    <t>105/07/10-105/08/03</t>
  </si>
  <si>
    <t>紐約市(New York,New York) 劍橋(Cambridge,Massachusetts) 洛杉磯(Los Angeles,California)</t>
  </si>
  <si>
    <t>學術轉移比較：戰後香港及新加坡理工學院的歷史個案_MOST 105-2410-H-001-040-MY2</t>
  </si>
  <si>
    <t>105/11/01-105/11/15</t>
  </si>
  <si>
    <t>公元2050年的人口與勞動力素質推計：急速老化的台灣與其近鄰_MOST 105-2410-H-001-043-MY2</t>
  </si>
  <si>
    <t>比較台灣與東南亞客家經驗：台灣客家族群發展的特色與典範移轉-（總計畫暨子 畫一）台灣與東南亞客家族群認同的變貌_MOST 105-2420-H-001-001</t>
  </si>
  <si>
    <t>台灣民間宗教的流動與跨界：民間信仰的「品味/論述 變遷考察_MOST 103-2410-H-001-102-MY2</t>
  </si>
  <si>
    <t>105年補助社會所博士後郭蕙如小姐赴加拿大參加國際會議旅費</t>
  </si>
  <si>
    <t>聽覺與視覺字彙辨識之同音字密度與字形一致性效應的神經機制_MOST 104-2420-H-001-002-MY2</t>
  </si>
  <si>
    <t>以文本為基礎的形態研究：三種喜馬拉雅山區漢藏語的個案_MOST105-2410-H-001-085</t>
  </si>
  <si>
    <t>口語韻律亮點所透露的即時口語產製規劃及信息配置_MOST104-2410-H-001-070-MY2</t>
  </si>
  <si>
    <t>＜青史演義＞，＜滿蒙漢三文合壁教科書＞線上語料庫建置暨近現代蒙古語研究_MOST104-2410-H-001-085</t>
  </si>
  <si>
    <t>基於整合韻律知識的韻律建模_MOST 103-2221-E-001-036-</t>
  </si>
  <si>
    <t>現代閩語，吳語及贛語中的古江東方言層次_MOST104-2410-H-001-069-MY2</t>
  </si>
  <si>
    <t>105/10/14-105/10/18</t>
  </si>
  <si>
    <t>科技部補助國內專家學者出席國際學術會議，補助編號：105-2914-I-001-012-A1</t>
  </si>
  <si>
    <t>參加the Fourth Workshop on Sino-Tibetan Languages of Southwest China</t>
  </si>
  <si>
    <t>科技部補助國內專家學者出席國際學術會議,補助編號105-2914-I-001-020-A1</t>
  </si>
  <si>
    <t>494105　建立高效代謝體學以及鑑定胜肽受器之技術用於研究植物利用胜肽傳遞系統免疫反應之機制1/2 本會議為質譜領域重要的年度會議，參加此會議為了解是否能夠利用最新質譜技術與工具去研究植物多肽之抗病反應機制及其調控外，並與頂尖學者有更多的交流。</t>
  </si>
  <si>
    <t>由天然真菌鑑定優質酵素及其細胞中表現與研究</t>
  </si>
  <si>
    <t>105/07/19-105/07/30</t>
  </si>
  <si>
    <t>植物在不同氮源下其對營養源吸收分配與偵測之角色_MOST 105-2311-B-001-045</t>
  </si>
  <si>
    <t>出席Calcium Signalling Meeting</t>
  </si>
  <si>
    <t>105/09/12-105/09/17</t>
  </si>
  <si>
    <t>佛萊辛(Freising)</t>
  </si>
  <si>
    <t>本計畫(植化物 cytopiloyne 在調節胰島細胞之分子機制與其臨床前應用)為研究植化物治療糖尿病機制.本計畫結合基礎與轉譯科究，希望藉由了解cytopiloyne 調節胰島細胞之作用與分子機制，發展新式糖尿病療法。這與本次會議內容一致.</t>
  </si>
  <si>
    <t>105/07/23-105/07/30</t>
  </si>
  <si>
    <t>GAMYB在水稻小孢子發育初 調控bHLH142啟動子之研究與應用_MOST104-2313-B-001-003</t>
  </si>
  <si>
    <t>第三屆亞洲植物基因體大會將於2016年4月11日及12日在馬來西亞的吉隆坡舉行。將有多位國際間和亞洲地區的科學家，在植物研究不同領域，包括分子標記的開發、育種、作物改良、病害/抗逆性、生物能源和基因編輯技術工作。本次會議將探討最新的策略及技術和應用NGS 、 OMIC技術、遺傳學、生物資訊和數據分析方法，進一步加強研究植物的研究新技術。</t>
  </si>
  <si>
    <t>綠竹開花相關基因之研究_MOST 104-2313-B-001-002</t>
  </si>
  <si>
    <t>此次前往參加之研討會與會成員包含植物界各領域之學者. 藉由參與此次研討會,可與植物生理學,分子生物學,生物資訊分析等領域相關學者進行交流,對於目前所研究之綠竹開花生理調控,生長老化調節以生理代謝等內容及植物研究技術發展可以提供更多不同專業領域的討論及建議.</t>
  </si>
  <si>
    <t>6/28-7/2至日本京都參加The 21st Annual Meeting of the RNA Society 國際會議，於會中發表兩篇壁報論文</t>
  </si>
  <si>
    <t>105/06/23-105/07/03</t>
  </si>
  <si>
    <t>植物缺氧逆境下的基因調控及訊息傳導機制(1/3)_MOST 104-2321-B-001-053-</t>
  </si>
  <si>
    <t>於美國植物學年會做學術交流，學習新知與報告目前在阿拉伯芥逆境下訊息傳導研究的進度。</t>
  </si>
  <si>
    <t>開發表面輔助雷射脫附離子法影像質譜技術並應用於微生物交互作用的研究及開發新的抗真菌製劑_MOST 104-2320-B-001-019-MY2</t>
  </si>
  <si>
    <t>開發表面輔助雷射脫附離子法影像質譜技術並應用於微生物交互作用的研究及開發新的抗真菌劑:利用表面輔助雷射脫附影像質譜法找到有活性的抗生物質，測試不同條件來最佳化表面輔助雷射脫附質譜法並且分離純化出有效的抗真菌物質，同時利用液相質譜技術做二次代謝物的分析來找出當中同類型的活性的抗生物質</t>
  </si>
  <si>
    <t>105/07/21-105/08/01</t>
  </si>
  <si>
    <t>開發美洲幼蟲病的新控制策略(3/3)_MOST 104-2321-B-001-004</t>
  </si>
  <si>
    <t>2016年第九屆天然藥物研討會 於會中展現目前美洲幼蟲病防治藥物開發結果</t>
  </si>
  <si>
    <t>植物高溫逆境反應之轉錄後調控： 本次會議將發表本實驗室在高溫逆境反應轉錄後調控的葉綠素分子代謝層次上的研究成果，將由本實驗室主要參與本計劃的林耀斌博士代表口頭報告並發表一張海報。</t>
  </si>
  <si>
    <t>105/08/04-105/08/15</t>
  </si>
  <si>
    <t>馬斯垂克 (Maastricht)</t>
  </si>
  <si>
    <t>以化學生物學方法探討根對鐵養分的感知及反應(3/3)_MOST 104-2321-B-001-006</t>
  </si>
  <si>
    <t>參加International Conference on Arabidopsis Research (ICAR)在韓國慶州主辦之Plant Biology 2016年會，並於會中發表壁報論文，與其他學者交換相關研究心得。</t>
  </si>
  <si>
    <t>參加European Molecular Biology Organization在維也納主辦之EMBO 2016研討會，獲取植物學領域新知並於會中發表壁報論文，與其他學者交換相關研究心得。</t>
  </si>
  <si>
    <t>105/06/16-105/06/27</t>
  </si>
  <si>
    <t>開發大花咸豐草植物化合物群BP-E-F1抗骨髓衍生抑制 胞擴張及免疫查哨點封阻 以抑制腫瘤轉移活性之研_MOST 104-2622-B-001-005-CC2</t>
  </si>
  <si>
    <t>hyphenated methods used in phytochemical analysis, sample preparation, and the isolation of biologically active metabolites from medicinal plants, food crops, and other natural sources.</t>
  </si>
  <si>
    <t>105/06/02-105/07/02</t>
  </si>
  <si>
    <t>波蘭(Poland) 法國(France) 德國(Germany)</t>
  </si>
  <si>
    <t>Lublin 巴黎(Paris) Aachen Mainz</t>
  </si>
  <si>
    <t>阿拉伯芥鐵吸收蛋白質組件轉運子及還原?的後轉譯調控_MOST 104-2311-B-001-022-MY3</t>
  </si>
  <si>
    <t>由American Society of Plant Biologists所主辦的Plant Biology 2016 Annual Meeting，屬於大型研討會。該研討會之學術地位及重要性在植物學界均佔龍頭地位。許多植物學者都會前往參與，是學術交流以及汲取新知的極佳機會。請准予公假並補助部分費用前往與會並攜回相關資料。</t>
  </si>
  <si>
    <t>105/06/27-105/07/15</t>
  </si>
  <si>
    <t>奧斯丁(Austin, Texas) 戴維斯(Davis, California)</t>
  </si>
  <si>
    <t>粗線體調控絨氈層程序性細胞死亡機制的探討_MOST 104-2311-B-001-002</t>
  </si>
  <si>
    <t>參加2016 GRC mitochondria &amp; chloroplast與發表論文</t>
  </si>
  <si>
    <t>105/06/16-105/06/26</t>
  </si>
  <si>
    <t>We will have a poster presentation in the meeting to share and communicate our new findings with the meeting participants.</t>
  </si>
  <si>
    <t>105/05/20-105/06/01</t>
  </si>
  <si>
    <t>Cavtat 察夫塔特</t>
  </si>
  <si>
    <t>阿拉伯芥和水稻之微型核醣核酸827和其目標基因對磷酸運送之調控(3/5)_MOST 104-2321-B-001-013</t>
  </si>
  <si>
    <t>參加第17屆植物細胞膜國際會議</t>
  </si>
  <si>
    <t>105/06/04-105/06/18</t>
  </si>
  <si>
    <t>In this meeting, we are going to report (oral and poster) the identification of long-sought plant vacuolar transporters that mediate the phosphate storage inside the vacuoles.</t>
  </si>
  <si>
    <t>105/07/08-105/07/18</t>
  </si>
  <si>
    <t>以壁報展演研究成果,並與世界各地科學家交流科學進展</t>
  </si>
  <si>
    <t>105/07/04-105/07/26</t>
  </si>
  <si>
    <t>參加第17屆植物細胞膜國際會議（International Workshop on Plant Membrane Biology, IWPMB），並應邀於大會發表演說。</t>
  </si>
  <si>
    <t>105/06/02-105/06/12</t>
  </si>
  <si>
    <t>Annapolis, Maryland</t>
  </si>
  <si>
    <t>阿拉伯芥的長期後天耐熱性機制_MOST 103-2311-B-001-011-MY3</t>
  </si>
  <si>
    <t>出國計畫名稱：阿拉伯芥長期後天耐熱性機制之研究 將於出國開會期間以壁報方式發表計劃相關進展，與相關學者互動。</t>
  </si>
  <si>
    <t>咸豐草降血糖產品的化學分析與品管方法及小規模量產製程開發_農試所1051006</t>
  </si>
  <si>
    <t>本計畫為咸豐草聚乙炔類的抗雞隻球蟲作用與機制探討, 主要探討咸豐草與雞隻球蟲關係.</t>
  </si>
  <si>
    <t>105/09/12-105/09/18</t>
  </si>
  <si>
    <t>The 17th International Congress on Photosynthesis Research</t>
  </si>
  <si>
    <t>to present the results about my research works at Dr. Yee-yung Charng's lab on photosynthesis and thermotolerance in Arabidopsis</t>
  </si>
  <si>
    <t>105/08/06-105/08/20</t>
  </si>
  <si>
    <t>Maastricht</t>
  </si>
  <si>
    <t>7/24~7/28: Joint Natural Products Conference 2016</t>
  </si>
  <si>
    <t>參加7/24~7/28: Joint Natural Products Conference 2016並發表壁報論文</t>
  </si>
  <si>
    <t>105/07/21-105/07/29</t>
  </si>
  <si>
    <t>計畫結餘款再運用-楊淑美老師</t>
  </si>
  <si>
    <t>4/16-20:至美國紐奧良出席2016年美國癌症協會研討會(AACR Annual Meeting 2016,AACR)，並發表論文</t>
  </si>
  <si>
    <t>奈米尺度下分子馬達之動力學研究與熱力學第二定律之違反_NSC 101-2112-M-001-027-MY3</t>
  </si>
  <si>
    <t>可應用於5奈米世代以下前瞻低功率互補式金氧半線路設計之單原子層二維電子通道鰭式靜態隨機儲存記憶體異質製程技術模組開發_MOST 105-2218-E-001-003-</t>
  </si>
  <si>
    <t>105/12/02-105/12/12</t>
  </si>
  <si>
    <t>利用溶液製程之鈣鈦礦材料製作新穎光電元件－子計畫三：噴塗製程與化學結構調變達成高效率鈣鈦礦太陽能電池_MOST 104-2221-E-001-014-MY3</t>
  </si>
  <si>
    <t>半導體奈米結構量子穿隧效應下的光子吸收以及其在光伏發電的應用(III)_MOST 104-2221-E-001-018-</t>
  </si>
  <si>
    <t>利用微流體細胞培養元件及表型試驗到動物模型探討癌症之轉移_NHRI-EX105-10523EI</t>
  </si>
  <si>
    <t>105/12/07-105/12/19</t>
  </si>
  <si>
    <t>105/05/01-105/06/10</t>
  </si>
  <si>
    <t>法國(France) 羅馬尼亞(Romania)</t>
  </si>
  <si>
    <t>Lille 巴黎(Paris) 布加勒斯特(Bucharest)</t>
  </si>
  <si>
    <t>一奈米尺度下的光譜影像及化學分析_MOST 104-2112-M-001-004-MY3</t>
  </si>
  <si>
    <t>105/07/30-105/08/08</t>
  </si>
  <si>
    <t>運用非線性維度縮減及混合蒙地卡羅法以加速生物巨分子構形取樣及自由能地形圖建構_MOST 104-2112-M-001-029-MY3</t>
  </si>
  <si>
    <t>小分子太陽能電池之多尺度電腦模擬_NSC 102-2628-M-001 -004 -MY3</t>
  </si>
  <si>
    <t>使用電場操控神經前驅細胞的生長分化走向_MOST 105-2113-M-001-024-</t>
  </si>
  <si>
    <t>105/09/04-105/09/09</t>
  </si>
  <si>
    <t>利用二維過渡金屬硫化物原子層中之表面電漿子效應來研發先進微小光源及奈米雷射_MOST 105-2112-M-001-011-MY3</t>
  </si>
  <si>
    <t>105/08/29-105/09/03</t>
  </si>
  <si>
    <t>波蘭(Poland) 法國(France)</t>
  </si>
  <si>
    <t>塑性奈米壓印金屬結構的光學特性與生醫應用_MOST 103-2221-E-001 -013 -MY3</t>
  </si>
  <si>
    <t>詹景翔博士後研究學者余105年5月赴法國Lille參加European Materials Research Society (E-MRS) 2016 Spring Meeting and Exhibit。補助編號：105-2914-I-001-016-A1</t>
  </si>
  <si>
    <t>中研院應用科學研究中心博士後蔡智雅擬於105年5月2日至5月6日參加歐洲材料學會(European Materials Society)在法國里爾(Lille)舉行之歐洲材料學會春季會議(2016 EMRS Spring Meeting)。 補助編號: 105-2914-I-001-015-A1</t>
  </si>
  <si>
    <t>補助蔡東昇博士於105年九月前往日本參加參加第十四屆國際近場光學,奈米光子學及相關技術之研討會(編號: 105-2912-I-001-046-A1)</t>
  </si>
  <si>
    <t>簡儀欣博士後研究員擬於105年8月赴加拿大魁北克參加XIII International Conference on Nanostructured Materials(NANO 2016)，補助編號：105-2914--001-041-A1</t>
  </si>
  <si>
    <t>烏蘭巴托(Ulaanbaatar)</t>
  </si>
  <si>
    <t>105/06/24-105/06/29</t>
  </si>
  <si>
    <t>105/08/06-105/08/21</t>
  </si>
  <si>
    <t>Avastin、Humira、Erbitux及Heceptin抗體均相最佳化及SSE4抗體篩選_28A-981130-2C</t>
  </si>
  <si>
    <t>105/03/19-105/03/27</t>
  </si>
  <si>
    <t>我國新藥加值創造與商業育成計畫_MOST105-2321-B-001-058</t>
  </si>
  <si>
    <t>抗流感病毒通用型疫苗之研發(3/3)_MOST105-2325-B-001-007</t>
  </si>
  <si>
    <t>105/06/25-105/07/04</t>
  </si>
  <si>
    <t>105/02/20-105/02/27</t>
  </si>
  <si>
    <t>匈牙利(Hungary)</t>
  </si>
  <si>
    <t>105/07/29-105/08/04</t>
  </si>
  <si>
    <t>105/03/17-105/03/24</t>
  </si>
  <si>
    <t>105/01/05-105/01/11</t>
  </si>
  <si>
    <t>價值交換與優先定序：比例原則和成本效益分析的統合與對比_MOST 104-2410-H-001-030</t>
  </si>
  <si>
    <t>105/09/02-105/09/09</t>
  </si>
  <si>
    <t>從聲景資訊分析自然環境、野生動物與人為活動之交互作用_MOST105-2321-B-001-069-MY3</t>
  </si>
  <si>
    <t>生理訊號增強及處理合作研究計畫_32T-1041126-1Q</t>
  </si>
  <si>
    <t>105/08/19-105/08/21</t>
  </si>
  <si>
    <t>去識別化加密保護研究_105-000002</t>
  </si>
  <si>
    <t>105/12/04-105/12/11</t>
  </si>
  <si>
    <t>105/08/04-105/08/16</t>
  </si>
  <si>
    <t>德國(Germany) 盧森堡(Luxembourg) 美國(U.S.A.)</t>
  </si>
  <si>
    <t>匹茲堡</t>
  </si>
  <si>
    <t>105/10/23-105/11/01</t>
  </si>
  <si>
    <t>芝加哥(Chicago,Illinois) 密西根</t>
  </si>
  <si>
    <t>105/09/03-105/09/09</t>
  </si>
  <si>
    <t>Elsinore</t>
  </si>
  <si>
    <t>105/06/17-105/06/24</t>
  </si>
  <si>
    <t>105/08/20-105/08/28</t>
  </si>
  <si>
    <t>105/10/17-105/10/24</t>
  </si>
  <si>
    <t>105/07/12-105/07/17</t>
  </si>
  <si>
    <t>法國(France) 英國(United Kingdom) 美國(U.S.A.)</t>
  </si>
  <si>
    <t>105/11/15-105/11/20</t>
  </si>
  <si>
    <t>科研環境領航計畫-基因體研究中心</t>
  </si>
  <si>
    <t>奧瑪哈</t>
  </si>
  <si>
    <t>105/10/11-105/10/12</t>
  </si>
  <si>
    <t>105/07/25-105/07/31</t>
  </si>
  <si>
    <t>105/05/09-105/05/19</t>
  </si>
  <si>
    <t>紐約市(New York,New York) 達拉斯(Dallas, Texas) 聖地牙哥(San Diego,California)</t>
  </si>
  <si>
    <t>105/07/25-105/08/03</t>
  </si>
  <si>
    <t>Norwich 牛津(Oxford)</t>
  </si>
  <si>
    <t>105/01/01-105/07/25</t>
  </si>
  <si>
    <t>Riverside, CA</t>
  </si>
  <si>
    <t>105/09/06-106/09/05</t>
  </si>
  <si>
    <t>培育科技菁英計畫-應用科學研究中心</t>
  </si>
  <si>
    <t>105/07/29-106/07/31</t>
  </si>
  <si>
    <t>培育科技菁英計畫-基因體研究中心</t>
  </si>
  <si>
    <t>105/02/23-107/02/28</t>
  </si>
  <si>
    <t>105/03/04-107/03/13</t>
  </si>
  <si>
    <t>受邀至Tohoku University移地研究</t>
  </si>
  <si>
    <t>105/01/14-105/01/28</t>
  </si>
  <si>
    <t>受邀至University of Virginia移地研究</t>
  </si>
  <si>
    <t>105/04/11-105/04/27</t>
  </si>
  <si>
    <t>Charlottesville</t>
  </si>
  <si>
    <t>受邀至Tokyo Institute of Technology移地研究</t>
  </si>
  <si>
    <t>105/10/20-105/10/31</t>
  </si>
  <si>
    <t>組合結構的代數、數論、隨機、漸近、組合性質及其應用(葉永南)_MOST104-2115-M-001-010-MY3</t>
  </si>
  <si>
    <t>105/01/31-105/02/28</t>
  </si>
  <si>
    <t>受邀訪問 Mathematical Sciences Research Institute(MSRI)</t>
  </si>
  <si>
    <t>105/03/03-105/03/13</t>
  </si>
  <si>
    <t>受邀至日本東北大學移地研究</t>
  </si>
  <si>
    <t>105/08/01-105/08/10</t>
  </si>
  <si>
    <t>9/18-9/22受邀至Osaka University移地研究 9/23受邀至Kyoto University移地研究 9/24-9/29受邀至Tohoku University移地研究</t>
  </si>
  <si>
    <t>105/09/18-105/09/29</t>
  </si>
  <si>
    <t>大阪(Osaka) 京都(Kyoto) Sendai</t>
  </si>
  <si>
    <t>受邀至義大利Scuola Normale Superiore移地研究</t>
  </si>
  <si>
    <t>105/05/03-105/05/19</t>
  </si>
  <si>
    <t>Piza</t>
  </si>
  <si>
    <t>在類比平坦及餘維2的科西黎曼流形上的史瑞格核及小平邦彥-布德得幕維嵌入定理(蕭欽玉)_MOST104-2628-M-001-003-MY2</t>
  </si>
  <si>
    <t>受邀至德國科隆大學移地研究</t>
  </si>
  <si>
    <t>105/06/14-105/08/01</t>
  </si>
  <si>
    <t>科隆(Cologne)</t>
  </si>
  <si>
    <t>105/04/30-105/06/02</t>
  </si>
  <si>
    <t>Saclay 日內瓦(Geneva)</t>
  </si>
  <si>
    <t>105/04/21-105/06/09</t>
  </si>
  <si>
    <t>冷原子和自旋-軌道耦合系統新穎的量子現象_MOST104-2112-M-001-006-MY3</t>
  </si>
  <si>
    <t>赴美研究</t>
  </si>
  <si>
    <t>105/05/26-105/06/13</t>
  </si>
  <si>
    <t>Aspen, Colorado</t>
  </si>
  <si>
    <t>前往韓國參與KAGRA實驗組會議並與相關研究人員合作討論</t>
  </si>
  <si>
    <t>以阿爾法磁譜儀和未來項目挑戰基本物理與宇宙論_MOST105-2112-M-001-003</t>
  </si>
  <si>
    <t>前往美國LIGO(雷射干涉重力波天文台)參觀並與LIGO相關研究人員在校準系統上做交流討論</t>
  </si>
  <si>
    <t>105/08/03-105/08/07</t>
  </si>
  <si>
    <t>Pasco</t>
  </si>
  <si>
    <t>105/07/31-105/08/05</t>
  </si>
  <si>
    <t>105/08/21-105/08/27</t>
  </si>
  <si>
    <t>茨城 富山</t>
  </si>
  <si>
    <t>赴瑞典斯德哥爾摩「Nordic Institute for theoretical Physics in Stockholm」進行Multi-Component and Strongly-Correlated Superconductors方面研究</t>
  </si>
  <si>
    <t>105/07/05-105/07/22</t>
  </si>
  <si>
    <t>質子與碳離子之多重散射研究_MOST104-2112-M-001-036</t>
  </si>
  <si>
    <t>筑波 大阪(Osaka)</t>
  </si>
  <si>
    <t>癌症與生物聚合物及複雜系統研究_MOST105-2112-M-001-004</t>
  </si>
  <si>
    <t>2016-08-17至2016-08-19赴廈門大學信息科學與工程學院進行移地研究</t>
  </si>
  <si>
    <t>105/08/11-105/08/19</t>
  </si>
  <si>
    <t>西寧 廈門(Xiamen)</t>
  </si>
  <si>
    <t>研究生(博士)曾瀚輝先生擬於105年05月18日至105年08月13日赴法國巴黎進行實驗研究相關事宜。</t>
  </si>
  <si>
    <t>105/05/18-105/08/13</t>
  </si>
  <si>
    <t>前往美國華盛頓參與AMS實驗組DOE審查會議</t>
  </si>
  <si>
    <t>105/09/07-105/09/11</t>
  </si>
  <si>
    <t>赴美國MIT.Prof. Cullen R. Buie’s Lab進行學術交流研究。</t>
  </si>
  <si>
    <t>赴日本KEK高能物理國家實驗室從事AMS及KAGRA計畫工作並與相關研究人員合作討論</t>
  </si>
  <si>
    <t>105/10/13-105/10/25</t>
  </si>
  <si>
    <t>茨城</t>
  </si>
  <si>
    <t>105/08/21-105/09/01</t>
  </si>
  <si>
    <t>CERN從事ATLAS計畫研究工作</t>
  </si>
  <si>
    <t>105/09/19-105/09/26</t>
  </si>
  <si>
    <t>分別赴美國Princeton University、Rutgers University進行研究</t>
  </si>
  <si>
    <t>105/10/02-105/10/09</t>
  </si>
  <si>
    <t>南韓Pohang Accelerator Laboratory (PAL)進行X光相關研究</t>
  </si>
  <si>
    <t>國立臺灣大學材料學系林唯芳教授代表臺灣參加會議。</t>
  </si>
  <si>
    <t>105/11/06-105/11/11</t>
  </si>
  <si>
    <t>約聘助理(學士級)詹豐嶽擬於105年09月25日至105年10月02日赴日本Kanazawa的金澤大學進行學術交流研究。</t>
  </si>
  <si>
    <t>新加坡National University of Singapore與Prof. Tok Eng Soon進行生物顯像之奈米粒子合成相關發展研究</t>
  </si>
  <si>
    <t>105/09/10-105/09/12</t>
  </si>
  <si>
    <t>為蒐集資料、瞭解世界各國奈米能源與環境領域之最新技術現況與未來發展趨勢、並與國外學者專家進行交流，裨益研擬本計畫之推動策略與作法、訂定和修訂研究重點、審查計畫以及評鑑成果。</t>
  </si>
  <si>
    <t>赴丹麥理工學院移地研究。</t>
  </si>
  <si>
    <t>105/02/12-105/03/26</t>
  </si>
  <si>
    <t>日內瓦(CERN)從事ATLAS計畫研究工作</t>
  </si>
  <si>
    <t>105/03/06-105/03/12</t>
  </si>
  <si>
    <t>赴日本東京出席「Japan nano tech 2016」展覽會。</t>
  </si>
  <si>
    <t>105/01/25-105/02/10</t>
  </si>
  <si>
    <t>105/10/28-105/11/02</t>
  </si>
  <si>
    <t>105/11/30-105/12/05</t>
  </si>
  <si>
    <t>105/10/31-105/12/19</t>
  </si>
  <si>
    <t>國際標準組織奈米技術委員會（ISO/TC229）的主要任務是制定奈米科技領域的相關標準，臺灣歷年皆派代員出席工作小組(Working Group, WG)會議。本所因執行「科技部奈米科技創新應用主軸計畫」並代表臺灣參與ISO活動，擬邀請在此領域具多年經驗的閤康生物科技股份有限公司總經理楊重熙博士代表臺灣參加本次會議。</t>
  </si>
  <si>
    <t>105/11/06-105/11/12</t>
  </si>
  <si>
    <t>往美國LIGO(雷射干涉重力波天文台)參觀並與LIGO相關研究人員在校準系統上做交流討論</t>
  </si>
  <si>
    <t>105/08/03-105/08/08</t>
  </si>
  <si>
    <t>前國韓國首爾參與KAGRA會議，並於會後6月25日轉赴英國愛丁堡參加【SPIE. ASTRONOMICAL TELESCOPES+INSTRUMENTATION】國際會議及會後合作討論</t>
  </si>
  <si>
    <t>英國(United Kingdom) 南韓(Korea)</t>
  </si>
  <si>
    <t>愛丁堡(Edinburgh) 首爾(Seoul)</t>
  </si>
  <si>
    <t>本所副研究員王嵩銘博士擬於2016年6月13日至12月5日止赴於「歐洲粒子物理研究中心」（CERN）從事實驗研究工作。</t>
  </si>
  <si>
    <t>105/06/13-105/12/05</t>
  </si>
  <si>
    <t>前往義大利參與AMS實驗組臨時會議</t>
  </si>
  <si>
    <t>105/08/27-105/09/02</t>
  </si>
  <si>
    <t>巴勒摩(Palermo)</t>
  </si>
  <si>
    <t>赴日內瓦從事AMS實驗研究工作</t>
  </si>
  <si>
    <t>104/11/01-105/07/31</t>
  </si>
  <si>
    <t>前往義大利比薩European Gravitational Observatory (EGO)參與學術、技術交流及與相關研究人員合作討論</t>
  </si>
  <si>
    <t>105/10/03-105/10/12</t>
  </si>
  <si>
    <t>Pisa</t>
  </si>
  <si>
    <t>為蒐集資料、瞭解世界各國奈米電子光電領域之最新技術現況與未來發展趨勢、並與國外學者專家進行交流，裨益研擬本計畫之推動策略與作法、訂定和修訂研究重點、審查計畫以及評鑑成果。</t>
  </si>
  <si>
    <t>105/10/08-105/10/19</t>
  </si>
  <si>
    <t>塞格德</t>
  </si>
  <si>
    <t>波爾多大學進行X光相關研究</t>
  </si>
  <si>
    <t>以精密磁譜儀探測宇宙中之反物質及暗物質-16_MOST105-2112-M-001-002</t>
  </si>
  <si>
    <t>從事AMS-02實驗相關等研究工作</t>
  </si>
  <si>
    <t>105/08/01-105/10/19</t>
  </si>
  <si>
    <t>高速高力靈敏度原子力顯微術之開發及生物課題之應用-高速高力靈敏度原子力顯 術之開發及生物課題之應_MOST104-2627-M-001-005</t>
  </si>
  <si>
    <t>本所研究副技師胡恩德先生擬於105年6月16日至6月22日赴瑞士洛桑參與高速AFM光路組裝workshop、105年6月23日至7月23日赴赴丹麥理工學院移地研究。</t>
  </si>
  <si>
    <t>馬茲尼104年1月1日起至2016年1月31日前往瑞士日內瓦之『歐洲粒子物理研究中心從事研究工作。</t>
  </si>
  <si>
    <t>104/01/01-105/01/31</t>
  </si>
  <si>
    <t>2016年日本nano tech奈米科技展-台灣館參展計畫_MOST104-2812-8-001-001</t>
  </si>
  <si>
    <t>吳茂昆105年1月26日至1月31日前往日本東京出席「Japan nano tech 2016」展覽會</t>
  </si>
  <si>
    <t>105/01/26-105/01/31</t>
  </si>
  <si>
    <t>日本nano tech奈米科技展-台灣館參展計畫</t>
  </si>
  <si>
    <t>105/01/25-105/02/01</t>
  </si>
  <si>
    <t>周忠儀擬於104年1月25日至2月1日赴日本東京出席「Japan nano tech 2016」展覽會</t>
  </si>
  <si>
    <t>張民傑105年1月24日至1月31日赴日本東京出席「Japan nano tech 2016」展覽會，1月25~26日處理主題館建館監督及展場展佈，1月27日至1月29日為展覽期間，1月30日進行撤展及整理展品工作，1月31日返台。</t>
  </si>
  <si>
    <t>105/01/24-105/01/31</t>
  </si>
  <si>
    <t>105/04/25-105/04/29</t>
  </si>
  <si>
    <t>出席2016 Nano tech</t>
  </si>
  <si>
    <t>埼玉(Saitama) 東京(Tokyo)</t>
  </si>
  <si>
    <t>本所研究副技師胡恩德先生擬於105年7月24日至7月29日赴美國聖他克拉拉參與Singularity University Workshop。</t>
  </si>
  <si>
    <t>104/10/25-105/04/26</t>
  </si>
  <si>
    <t>參與ATLAS實驗搜尋新物理現象-15-參與ATLAS實驗搜尋新物理現象-15_MOST104-2112-M-001-023-MY3</t>
  </si>
  <si>
    <t>赴日內瓦參與ATLAS實驗研究工作</t>
  </si>
  <si>
    <t>105/05/24-105/05/27</t>
  </si>
  <si>
    <t>赴日本茨城KEK高能物理國家實驗室、岐阜神岡實驗室及大阪市立大學從事AMS及高能實驗研究工作並與相關研究人員合作討論最新研究成果</t>
  </si>
  <si>
    <t>105/04/12-105/04/24</t>
  </si>
  <si>
    <t>茨城 岐阜(Gifu) 大阪(Osaka)</t>
  </si>
  <si>
    <t>以精密磁譜儀探測宇宙中之反物質及暗物質-15_MOST104-2112-M-001-024</t>
  </si>
  <si>
    <t>赴日內瓦參與AMS實驗組會議</t>
  </si>
  <si>
    <t>105/03/16-105/03/26</t>
  </si>
  <si>
    <t>參與分析恆星追蹤器 (Star Tracker) 及相關高能實驗研究工作</t>
  </si>
  <si>
    <t>105/04/24-105/05/25</t>
  </si>
  <si>
    <t>張泰榕赴新加坡大學蒐集資料</t>
  </si>
  <si>
    <t>105/04/21-105/05/12</t>
  </si>
  <si>
    <t>105/05/18-105/05/23</t>
  </si>
  <si>
    <t>岐阜(Gifu)</t>
  </si>
  <si>
    <t>本所研究員章文箴先生擬訂於2016年5月24月起至5月30日至兵庫縣佐用町的日本理化學研究所（RIKEN Japan）之大型同步輻射設施(SPring-8)進行研究工作。</t>
  </si>
  <si>
    <t>105/05/24-105/05/30</t>
  </si>
  <si>
    <t>兵庫縣佐用町</t>
  </si>
  <si>
    <t>赴American University in Dubai, Dubai, UAE 及 New York University in Abu Dhabi, Abu Dhabi, UAE 及 Xinjiang University, Urumqi, China做移地研究。</t>
  </si>
  <si>
    <t>105/04/04-105/04/18</t>
  </si>
  <si>
    <t>阿拉伯聯合大公國(United Arab Emirates) 中國大陸(China)</t>
  </si>
  <si>
    <t>杜拜(Dubai) 阿布達比(Abu Dhabi) 烏魯木齊(Urumuqi)</t>
  </si>
  <si>
    <t>姚斌誠105年05月08日至05月15日赴美國麻薩諸塞州洛厄爾市(Lowell)參加「IEC TC 113 /ISO TC 229 Meeting」，進行研究及國際合作討論。</t>
  </si>
  <si>
    <t>麻薩諸塞州洛厄爾市(Lowell)</t>
  </si>
  <si>
    <t>「在CERN COMPASS實驗透過非極化Drell-Yan過程探討強子結構」;計畫編號:105-2911-I-001-513</t>
  </si>
  <si>
    <t>前往法國Saclay研究中心蒐集重要實驗研究資料並進行研究，以利執行相關實驗研究工作。</t>
  </si>
  <si>
    <t>105/07/27-105/08/12</t>
  </si>
  <si>
    <t>Saclay</t>
  </si>
  <si>
    <t>科技部專案補助(補助編號：MOST105-2911-I-001-527)</t>
  </si>
  <si>
    <t>受邀赴以色列出席「Low Temperature Quantum Physics Workshop」及會後交流訪問</t>
  </si>
  <si>
    <t>以色列(Israel) 耶路撒冷(Jerusalem)</t>
  </si>
  <si>
    <t>台拉維夫(Tel Aviv) 耶路撒冷(Jerusalem)</t>
  </si>
  <si>
    <t>科技部計畫105/106年度臺法幽蘭計畫人員交流訪問案（計畫名稱：在CERN COMPASS實驗透過非極化Drell-Yan過程探討強子結構；計畫編號: 105-2911-I-001-513）</t>
  </si>
  <si>
    <t>前往法國Saclay研究中心及瑞士日內瓦歐洲粒子研究中心(CERN)進行蒐集重要實驗研究資料，利執行相關實驗研究工作。。</t>
  </si>
  <si>
    <t>105/07/20-105/08/05</t>
  </si>
  <si>
    <t>105/06/13-105/06/28</t>
  </si>
  <si>
    <t>以冷凍電子顯微鏡重構技術來鑑定 腸病毒 71 型病毒 粒上之抗原位點(2/3)_104-2321-B-001-019-</t>
  </si>
  <si>
    <t>105/06/09-105/06/17</t>
  </si>
  <si>
    <t>赴日本京都大學從事鋯石定年實驗工作</t>
  </si>
  <si>
    <t>105/04/03-105/04/18</t>
  </si>
  <si>
    <t>赴日參加Goldschmidt2016會議發表論文及至靜岡大學合作研究</t>
  </si>
  <si>
    <t>105/06/26-105/07/09</t>
  </si>
  <si>
    <t>橫濱(Yokohama) 靜岡市</t>
  </si>
  <si>
    <t>１０４年台灣地震中心儀器服務計畫_MOST104-2119-M-001-008</t>
  </si>
  <si>
    <t>赴越南從事野外工作設置寬頻地震觀測網地震站</t>
  </si>
  <si>
    <t>105/04/18-105/04/22</t>
  </si>
  <si>
    <t>至泰國北部對三叠紀岩漿岩進行採樣，並就樣本作岩石學、定年學與地球化學研究</t>
  </si>
  <si>
    <t>105/02/23-105/03/08</t>
  </si>
  <si>
    <t>清邁及泰北鄉下</t>
  </si>
  <si>
    <t>105/02/14-105/02/21</t>
  </si>
  <si>
    <t>馬尼拉(Manila) 北呂宋 明多洛島</t>
  </si>
  <si>
    <t>擔任國際學術期刊Lithos主編之補助計畫_MOST105-2911-I-001-512</t>
  </si>
  <si>
    <t>至英國參加Lithos編輯會議及參訪牛津大學討論合作研究</t>
  </si>
  <si>
    <t>105/01/12-105/01/17</t>
  </si>
  <si>
    <t>牛津(Oxford) 倫敦(London)</t>
  </si>
  <si>
    <t>赴印度訪問開展科技部台印合作計劃，本次台方人員赴印度訪問將與對方交流合作研究成果並協助印方研究人員解決遇到的問題，蒐集最新地震數據並準備下一步研究目標，同時走訪印度相關研究機構，以便將來擴大合作範圍。</t>
  </si>
  <si>
    <t>亞美達巴德（Ahmedabad） 新德里(New Delhi)</t>
  </si>
  <si>
    <t>為執行國合計畫赴阿曼蛇綠岩區進行野外採樣</t>
  </si>
  <si>
    <t>104/12/26-105/01/05</t>
  </si>
  <si>
    <t>阿曼(Oman)</t>
  </si>
  <si>
    <t>馬斯開特(Muscat)</t>
  </si>
  <si>
    <t>Ahmedabad 新德里(New Delhi)</t>
  </si>
  <si>
    <t>赴俄羅斯貝加爾湖北方Olondo belt區域進行野外地質調查與岩樣採集等工作</t>
  </si>
  <si>
    <t>105/07/14-105/08/12</t>
  </si>
  <si>
    <t>Chara</t>
  </si>
  <si>
    <t>地球科學學門（地質組）研究發展及推動計畫　　　　_MOST105-2114-M-001-003</t>
  </si>
  <si>
    <t>至法國移地研究 1.巴黎 第六大學 參訪，討論未來合作項目 2.法國 馬賽 艾克思大學 討論合作及實驗室訪問</t>
  </si>
  <si>
    <t>105/06/23-105/07/09</t>
  </si>
  <si>
    <t>巴黎(Paris) 馬賽(Marseille) 蒙培里爾(Montpellier)</t>
  </si>
  <si>
    <t>Alpha-Ring熱核反應及能量轉換裝置：理論及電腦模擬研究（１／３）_MOST105-2119-M-001-013</t>
  </si>
  <si>
    <t>美國紐約普林斯頓大學及舊金山學術交流合作</t>
  </si>
  <si>
    <t>105/10/06-105/10/20</t>
  </si>
  <si>
    <t>紐約市(New York,New York) 舊金山(San Francisco,California)</t>
  </si>
  <si>
    <t>赴印尼野外地質調查及採樣</t>
  </si>
  <si>
    <t>105/08/01-105/08/14</t>
  </si>
  <si>
    <t>印尼(Indonesia) 馬來西亞(Malaysia)</t>
  </si>
  <si>
    <t>棉蘭(Medan) 巨港 吉隆坡(Kuala Lumpur)</t>
  </si>
  <si>
    <t>105/09/26-105/10/02</t>
  </si>
  <si>
    <t>赴印尼進行野外地質調查及採樣及赴馬來西亞進行學術訪問</t>
  </si>
  <si>
    <t>馬尼拉(Manila) Basco_Batanes</t>
  </si>
  <si>
    <t>至新加坡南洋理工大學進行Asian Consortium of Volcanology(ACV)之學術研究交流</t>
  </si>
  <si>
    <t>105/03/20-105/03/22</t>
  </si>
  <si>
    <t>赴澳洲雪梨麥覺理大學GEMOC研究中心進行合作研究</t>
  </si>
  <si>
    <t>105/05/20-105/06/02</t>
  </si>
  <si>
    <t>愛爾蘭古生代及台灣新生代弧陸碰撞地質研究勘查及比較</t>
  </si>
  <si>
    <t>105/09/01-105/09/11</t>
  </si>
  <si>
    <t>愛爾蘭古生代及台灣新生代弧陸碰撞研究勘查及比較</t>
  </si>
  <si>
    <t>科技部計畫"Alpha-Ring 熱核反應及能量轉換裝置:理論及電腦模擬研究"是以Alpha Ring International (ARI)公司的核融合裝置為參考模型, 根據此裝置建立理論與數值模擬模型來研究核融合, 此次前往ARI將參與操作實驗裝置, 並討論建立數值模擬模型的細節</t>
  </si>
  <si>
    <t>Monterey</t>
  </si>
  <si>
    <t>「台韓天然氣水合物學術合作訪問」 NEP-II地熱與天然氣水合物主軸中心於104年與韓國KIGAM海洋研究中心簽訂合作備忘錄(MOU)，本年度(105)由黃柏壽召集人領隊，帶領項下計畫之研究人員共14位；韓方安排一日學術成果交流，隔日參觀實驗室與岩心採樣操作示範。</t>
  </si>
  <si>
    <t>大田(Daejon)</t>
  </si>
  <si>
    <t>105/08/26-105/08/31</t>
  </si>
  <si>
    <t>105/10/07-105/10/11</t>
  </si>
  <si>
    <t>赴俄羅斯南西伯利亞地區參加野外工作並作樣本準備工作</t>
  </si>
  <si>
    <t>105/08/10-105/09/22</t>
  </si>
  <si>
    <t>Eastern Sayan Range (Southern Siberia, Russia)</t>
  </si>
  <si>
    <t>第一過渡系元素與同位素之高溫地球化學研究_MOST105-2628-M-001-001-MY4</t>
  </si>
  <si>
    <t>赴泰國清邁進行野外地質考察</t>
  </si>
  <si>
    <t>105/11/10-105/11/20</t>
  </si>
  <si>
    <t>105/08/28-105/08/30</t>
  </si>
  <si>
    <t>赴瑞士蘇黎世聯邦理工學院移地研究延續既有合作計畫</t>
  </si>
  <si>
    <t>至越南河內進行田野研究調查並參訪Institute of Geological Science, Vietnam Academy of Science and Technology.</t>
  </si>
  <si>
    <t>前往印尼及馬來西亞進行學術訪問與地質野外考察</t>
  </si>
  <si>
    <t>105/10/19-105/10/29</t>
  </si>
  <si>
    <t>雅加達(Jakarta) 棉蘭(Medan) 吉隆坡(Kuala Lumpur)</t>
  </si>
  <si>
    <t>赴法國Montpellier移地研究及合作研究計畫之推展</t>
  </si>
  <si>
    <t>赴法國Montpellier參加台法地球科學合作LIA高峰討論會</t>
  </si>
  <si>
    <t>105/07/04-105/07/08</t>
  </si>
  <si>
    <t>台法地球科學合作LIA(III)高峰討論會</t>
  </si>
  <si>
    <t>台法科學合作計劃是長期的國際合作計劃，將規劃未來重點合作及研究計劃項目。</t>
  </si>
  <si>
    <t>105/07/03-105/07/09</t>
  </si>
  <si>
    <t>蒙培里爾</t>
  </si>
  <si>
    <t>105台法雙邊合作LIA(ＩＩＩ)高峰會討論會</t>
  </si>
  <si>
    <t>105/07/03-105/07/10</t>
  </si>
  <si>
    <t>至蒙培里爾大學討論未來重點合作領域及研究方向，探討雙方互相合作的空間與議題</t>
  </si>
  <si>
    <t>105-2911-I-001-534 應邀至法蘭西學院自然科學院共同進行雙邊審查會擔任2016年台法科技獎審查委員</t>
  </si>
  <si>
    <t>應邀至法蘭西學院自然科學院共同進行雙邊審查會擔任2016年台法科技獎審查委員</t>
  </si>
  <si>
    <t>105/09/20-105/09/25</t>
  </si>
  <si>
    <t>語意分析相關技術_05T-1040901-1Q</t>
  </si>
  <si>
    <t>受邀訪問Dublin City University</t>
  </si>
  <si>
    <t>實作對絡密碼學中基本難題的平行破密攻擊以達成安全性的更好推估_MOST105-2221-E-001-020-MY3</t>
  </si>
  <si>
    <t>訪問丁津泰教授並討論科技部合作計畫之合作研究與執行規劃事宜。</t>
  </si>
  <si>
    <t>105/08/08-105/08/24</t>
  </si>
  <si>
    <t>Cincinnati</t>
  </si>
  <si>
    <t>前往德國執行科技部國合計畫及洽談合作事宜</t>
  </si>
  <si>
    <t>105/06/01-105/06/10</t>
  </si>
  <si>
    <t>Dortmund 波昂(Bonn) Darmstadt</t>
  </si>
  <si>
    <t>計算幾何與組合最佳化之演算法研究(2/3)_MOST104-2221-E-001-032</t>
  </si>
  <si>
    <t>可驗證的串流資料結構_MOST105-2923-E-001-002-MY2</t>
  </si>
  <si>
    <t>赴義大利Padua的University of Padua進行移地研究。</t>
  </si>
  <si>
    <t>105/07/06-105/07/20</t>
  </si>
  <si>
    <t>Padua</t>
  </si>
  <si>
    <t>代1297：104-2911-I-001-506基於多模組整合學習於大量多媒體資料內容分析（2/2）</t>
  </si>
  <si>
    <t>赴美國紐約哥倫比亞大學執行科技部龍門計畫</t>
  </si>
  <si>
    <t>105/07/19-105/08/20</t>
  </si>
  <si>
    <t>代1282－美國李氏傳統基金會</t>
  </si>
  <si>
    <t>訪問Prof. Alon Rosen 及 Prof. Elette Boyle並出席會議。</t>
  </si>
  <si>
    <t>代1297-基於多模型整合學習於大量多媒體資料內容分析(2/2)</t>
  </si>
  <si>
    <t>赴美國紐約哥倫比亞大學執行104年度科技部計畫</t>
  </si>
  <si>
    <t>105/09/25-105/10/10</t>
  </si>
  <si>
    <t>代1287-104-2918-I-001-005科技部104年度（第53屆）補助科學與技術人員國外短期研究人員經費</t>
  </si>
  <si>
    <t>國外短期研究</t>
  </si>
  <si>
    <t>104/08/21-105/04/21</t>
  </si>
  <si>
    <t>探索Argonautes蛋白質對病毒感染的抗性反應機制(2/3)(植生)_MOST 105-2321-B-001-036</t>
  </si>
  <si>
    <t>竹類病害發生之田間調查</t>
  </si>
  <si>
    <t>105/11/21-105/11/29</t>
  </si>
  <si>
    <t>清邁(Chiang mai) 曼谷(Bangkok)</t>
  </si>
  <si>
    <t>赴日本室蘭工業大學進行學術合作討論以及教育訓練。</t>
  </si>
  <si>
    <t>105/04/20-105/05/02</t>
  </si>
  <si>
    <t>室蘭</t>
  </si>
  <si>
    <t>赴德國波昂大學進行學術討論會及參加2016年EMBO年輕學者定期會議並發表演講</t>
  </si>
  <si>
    <t>105/05/07-105/05/14</t>
  </si>
  <si>
    <t>波昂(Bonn) 海德堡(Heidelberg)</t>
  </si>
  <si>
    <t>參與胚胎與種子發育基因之功能與分子機制研究(3/3)_MOST 104-2321-B-001-008(植裕)</t>
  </si>
  <si>
    <t>參與每場演講並積極參與學者互動，除能拓展植微所於世界相關研究機構中的能見度外，亦將尋求未來合作（學術訪問或實質計畫合作）之可行性。</t>
  </si>
  <si>
    <t>Arizona 州Tucson市</t>
  </si>
  <si>
    <t>研究新組蛋白變異型H2A.W對染色質構型的調控(植仰)_MOST 104-2923-B-001-003-MY2</t>
  </si>
  <si>
    <t>此研究計畫的長期目標在於完整釐清H2A.W的功能；包含 H2A.W 如何影響染色質，進而辨識異染色質以及抑制跳躍子。</t>
  </si>
  <si>
    <t>105/06/11-105/06/20</t>
  </si>
  <si>
    <t>EMBO Young Investigator Program補助款</t>
  </si>
  <si>
    <t>赴日本東京大學進行學術討論會</t>
  </si>
  <si>
    <t>105/10/07-105/10/13</t>
  </si>
  <si>
    <t>前往美國杜克大學進行合作研究及商討DNA topoisomerase II and Mus101最新發展</t>
  </si>
  <si>
    <t>104/12/10-105/01/14</t>
  </si>
  <si>
    <t>至捷克Institute of Molecular Genetics of the ASCR,LABORATORY OF TRANSCRIPTIONAL REGULATION Dr.Zbyněk Kozmik實驗室研究探討Wnt/β-catenin訊息傳遞在文昌魚早期胚層發育與胚胎背腹軸決定機制上的功能.</t>
  </si>
  <si>
    <t>105/05/29-105/06/13</t>
  </si>
  <si>
    <t>至捷克Institute of Molecular Genetics of the ASCR,LABORATORY OF TRANSCRIPTIONAL REGULATION Dr.Zbyněk Kozmik實驗室研究探討Wnt/β-catenin訊息傳遞在文昌魚早期胚層發育與胚胎背腹軸決定機制上的功能,為期一週研究.</t>
  </si>
  <si>
    <t>前往日本名古屋基礎生物學研究所(National Institute for basic biology, NIBB) 學習青鱂魚顯微注射實驗。</t>
  </si>
  <si>
    <t>105/05/08-105/05/18</t>
  </si>
  <si>
    <t>前往日本神戶理化學研究所(Evolutionary Morphology Laboratory,RIKEN)進行異地研究:盲鰻骨骼發育的演化發育生物學實驗(Evolutionary developmental biology of hagfish skeletogenesis)</t>
  </si>
  <si>
    <t>105/01/04-105/02/04</t>
  </si>
  <si>
    <t>魚類鈉氫交換參與之排酸機制及荷爾蒙調控(1/3)_MOST104-2321-B-001-056-</t>
  </si>
  <si>
    <t>赴日本東京大學水圈生命科學系進行合作實驗</t>
  </si>
  <si>
    <t>105/03/20-105/03/26</t>
  </si>
  <si>
    <t>前往日本名古屋基礎生物學研究所(National Institute for basic biology, NIBB)學習青鱂魚顯微注射實驗。</t>
  </si>
  <si>
    <t>臺俄(RU)國合計畫-從海洋菌(Phoma glomerata)的n-醯六碳糖胺水解?用於合成生糖鏈及分析其產生的天然_NSC103-2923-M-001-006-MY3</t>
  </si>
  <si>
    <t>Research Collaboration</t>
  </si>
  <si>
    <t>105/01/30-105/03/14</t>
  </si>
  <si>
    <t>依科技部台俄雙邊合作計畫[計畫編號： NSC 103-2923-M-001 -006 -MY3]進行移地研究及三邊互訪(黑龍江大學的張彥龍教授也參與這個計畫)</t>
  </si>
  <si>
    <t>105/10/21-105/10/27</t>
  </si>
  <si>
    <t>海參崴(Vladivostok) 哈爾濱(Harbin)</t>
  </si>
  <si>
    <t>臺灣原住民傳世銅器的研究_NSC 102-2410-H-001-102-MY2</t>
  </si>
  <si>
    <t>105/01/25-105/02/05</t>
  </si>
  <si>
    <t>韓雅各在中國的醫療傳教事業_MOST 104-2410-H-001-071-</t>
  </si>
  <si>
    <t>104/12/29-105/01/15</t>
  </si>
  <si>
    <t>105/03/01-105/03/30</t>
  </si>
  <si>
    <t>Tucson(土桑市)</t>
  </si>
  <si>
    <t>105/05/12-105/05/23</t>
  </si>
  <si>
    <t>隋代墓葬圖像研究_MOST 104-2410-H-001-062-MY2</t>
  </si>
  <si>
    <t>105/10/30-105/11/11</t>
  </si>
  <si>
    <t>105/07/25-105/08/11</t>
  </si>
  <si>
    <t>英國(United Kingdom) 荷蘭(Netherlands) 德國(Germany)</t>
  </si>
  <si>
    <t>倫敦(London) 阿姆斯特丹(Amsterdam) 德勒斯登(Dresden)</t>
  </si>
  <si>
    <t>應用潘諾夫斯基的理論於使用者對藝術圖像「屬於」與「關於」之感知研究_MOST 104-2410-H-001-078-</t>
  </si>
  <si>
    <t>105/06/16-105/07/02</t>
  </si>
  <si>
    <t>華盛頓特區(Washington) 紐約市(New York,New York)</t>
  </si>
  <si>
    <t>105/08/28-105/09/06</t>
  </si>
  <si>
    <t>發現東方無意識：二十世紀上半葉日本的心理治療_MOST 104-2410-H-001-001-MY2</t>
  </si>
  <si>
    <t>105/08/16-105/09/03</t>
  </si>
  <si>
    <t>大阪(Osaka) 京都(Kyoto)</t>
  </si>
  <si>
    <t>由新喀里多尼亞Lapita陶器流傳模式來研究史前南島語族群體之社會網路_RG006-D-14</t>
  </si>
  <si>
    <t>105/09/11-105/10/10</t>
  </si>
  <si>
    <t>為執行科技部專題研究計畫赴菲律賓田野調查</t>
  </si>
  <si>
    <t>前往尼泊爾加德滿都進行資料彙整與田野調查研究。</t>
  </si>
  <si>
    <t>105/06/15-105/07/12</t>
  </si>
  <si>
    <t>申請人前往英國倫敦的「大英圖書館聲音檔案室」(British Library Sound Archive) 蒐集資料，該館收藏大量的幾內亞國家廣播電視台的檔案，包含數百首關於文化大革命時期的錄音，將有助於這個研究計畫的議題發展。</t>
  </si>
  <si>
    <t>105/06/06-105/07/06</t>
  </si>
  <si>
    <t>為收集研究資料進行田野調查</t>
  </si>
  <si>
    <t>105/06/08-105/06/15</t>
  </si>
  <si>
    <t>前往尼泊爾加德滿都進行田野調查。</t>
  </si>
  <si>
    <t>105/02/19-105/03/06</t>
  </si>
  <si>
    <t>就專題研究計畫主題進行田野調查</t>
  </si>
  <si>
    <t>105/03/01-105/03/12</t>
  </si>
  <si>
    <t>105/01/21-105/01/31</t>
  </si>
  <si>
    <t>經濟高度成長時期的日本外交（1960-1972）_MOST 104-2410-H-001-055-MY2</t>
  </si>
  <si>
    <t>105/01/24-105/02/06</t>
  </si>
  <si>
    <t>「釣魚臺列嶼主權之十大事實」研究計畫_</t>
  </si>
  <si>
    <t>105/05/14-105/05/22</t>
  </si>
  <si>
    <t>105/04/04-105/04/11</t>
  </si>
  <si>
    <t>105/12/21-105/12/24</t>
  </si>
  <si>
    <t>東京(Tokyo) 岡山 京都(Kyoto)</t>
  </si>
  <si>
    <t>105/05/29-105/06/07</t>
  </si>
  <si>
    <t>105/05/06-105/05/11</t>
  </si>
  <si>
    <t>大阪(Osaka) 神戶(Kobe) 岡崎 東京(Tokyo)</t>
  </si>
  <si>
    <t>人道主義或修正主義：蘇聯電影《一個人的遭遇》在中蘇關係中的角色_MOST 104-2410-H-001-035</t>
  </si>
  <si>
    <t>105/09/29-105/11/05</t>
  </si>
  <si>
    <t>運動與殖民：近代外人在華的英式運動：（I）獵紙、II）划船、（III）足球_MOST102-2410-H-001-025-MY3</t>
  </si>
  <si>
    <t>105/08/22-105/09/03</t>
  </si>
  <si>
    <t>105/07/18-105/08/21</t>
  </si>
  <si>
    <t>以符合同向變動條件為設定之半參數計量模型之參數集合的推動議題中之dimension reduction方法的探討_MOST 105-2410-H-001-003-</t>
  </si>
  <si>
    <t>公民理念式投票動機之測量_MOST 103-2410-H-001-001-MY2</t>
  </si>
  <si>
    <t>105/07/02-105/07/16</t>
  </si>
  <si>
    <t>人民幣做為貿易計價貨幣對國際貿易之影響_MOST 104-2410-H-001-020</t>
  </si>
  <si>
    <t>105/03/30-105/06/16</t>
  </si>
  <si>
    <t>愛爾蘭(Ireland) 美國(U.S.A.)</t>
  </si>
  <si>
    <t>都伯林(Dublin) 華盛頓特區(Washington)</t>
  </si>
  <si>
    <t>105/10/22-105/11/02</t>
  </si>
  <si>
    <t>鹿特丹(Rotterdam)</t>
  </si>
  <si>
    <t>105/08/30-105/11/30</t>
  </si>
  <si>
    <t>卡爾加利(Calgary)</t>
  </si>
  <si>
    <t>表意地點的管制：空間政治觀點的分析_104-2410-H-001-029</t>
  </si>
  <si>
    <t>105/05/01-105/07/29</t>
  </si>
  <si>
    <t>歐洲議會在歐盟對外協定的影響力之研究_104-2410-H-001-052-MY2</t>
  </si>
  <si>
    <t>105/06/02-105/06/27</t>
  </si>
  <si>
    <t>英國(United Kingdom) 波蘭(Poland) 比利時(Belgium) 義大利(Italy)</t>
  </si>
  <si>
    <t>倫敦(London) 華沙(Warsaw) 克拉科(Krakow) 布魯塞爾(Brussels) 佛羅倫斯(Florence)</t>
  </si>
  <si>
    <t>當代藝術變色龍：一個雙年展的觀點_102-2410-H-001-088-MY3</t>
  </si>
  <si>
    <t>105/09/02-105/09/10</t>
  </si>
  <si>
    <t>歐盟「管制浮虜」現象成因及其對歐盟超國家民主實踐之影響_104-2410-H-001-051</t>
  </si>
  <si>
    <t>105/06/28-105/09/09</t>
  </si>
  <si>
    <t>德國(Germany) 卡達(Qatar)</t>
  </si>
  <si>
    <t>柏林(Berlin) 法蘭克福(Frankfurt) 卡達(Qatar)</t>
  </si>
  <si>
    <t>105/05/03-105/05/14</t>
  </si>
  <si>
    <t>比利時(Belgium) 義大利(Italy) 荷蘭(Netherlands)</t>
  </si>
  <si>
    <t>布魯塞爾(Brussels) 佛羅倫斯(Florence) 阿姆斯特丹(Amsterdam)</t>
  </si>
  <si>
    <t>教育不平等對失能發生壓縮與每次失能持續時間之影響_104-2410-H-001-093</t>
  </si>
  <si>
    <t>105/04/17-105/04/30</t>
  </si>
  <si>
    <t>105/05/27-105/06/15</t>
  </si>
  <si>
    <t>舊金山(San Francisco,California) 柏克萊(Brkeley, California)</t>
  </si>
  <si>
    <t>To visit the Institute for Mathematical Sciences, National University of Singapore, and to participate in the Program on Empirical Likelihood Based Methods in Statistics held by that institute.</t>
  </si>
  <si>
    <t>訪問紐西蘭 The University of Auckland 統計系。 與統計系主任 Chris Triggs 以及 紐西蘭統計學會理事長 Martin Hazelton 教授洽談 國際統計計算學會與紐西蘭統計學會合辦 The 2017 IASC-ARS/NZSA Joint Statistics Conference 事宜。並參觀相關會議設施與討論其它相關工作。</t>
  </si>
  <si>
    <t>105/02/09-105/02/18</t>
  </si>
  <si>
    <t>受邀赴日本東京ISM訪問, 並於ISM發表演講.</t>
  </si>
  <si>
    <t>105/03/18-105/03/23</t>
  </si>
  <si>
    <t>105年7月1日至8月26日赴美國史丹佛大學與唐樺教授進行研究。</t>
  </si>
  <si>
    <t>105/07/01-105/08/26</t>
  </si>
  <si>
    <t>赴巴黎六大共同研究並參加台奧法三方會議</t>
  </si>
  <si>
    <t>105/08/28-105/09/09</t>
  </si>
  <si>
    <t>臺法(FR)國合計畫-組合結構上的非正規漸近分析_MOST 105-2923-E-001-001-MY4</t>
  </si>
  <si>
    <t>與黃顯貴老師赴巴黎六大共同研究並參加台奧法三方會議</t>
  </si>
  <si>
    <t>105/08/28-105/09/04</t>
  </si>
  <si>
    <t>105/08/30-105/09/04</t>
  </si>
  <si>
    <t>105/08/25-105/09/09</t>
  </si>
  <si>
    <t>穩健型有標誤的羅吉斯迴歸並延伸於張量羅吉斯迴歸及支撐向量機_MOST 105-2118-M-001-010-MY2</t>
  </si>
  <si>
    <t>105/11/02-105/11/06</t>
  </si>
  <si>
    <t>大田(Daejon) 首爾(Seoul)</t>
  </si>
  <si>
    <t>英國皇家學院合作研究人員交流計畫，計畫編號:105-2911-I-001-516</t>
  </si>
  <si>
    <t>科技部103年度第52屆補助科學與技術人員國外短期研究(103-2918-I-001-008)</t>
  </si>
  <si>
    <t>Visiting Broad Institute in Cambridge, MA, USA for research.</t>
  </si>
  <si>
    <t>103/09/26-104/09/25</t>
  </si>
  <si>
    <t>前往美國舊金山參加「2016年美國生技展」，並設置攤位推廣生技醫藥國家型科技計畫(NRPB)歷年成果。</t>
  </si>
  <si>
    <t>臺灣小鼠診所--國家綜合小鼠表現型暨藥效分析中心VI_MOST105-2325-B001-010</t>
  </si>
  <si>
    <t>出席105年5月20日至21日於日本箱根舉行之「2016 AMMRA &amp; AMPC meeting」，此次會議將討論有關各種表現型的鑑定方法及成果意見交換，藉以達到宣傳小鼠診所的服務及合作研究目的。</t>
  </si>
  <si>
    <t>105/05/20-105/05/22</t>
  </si>
  <si>
    <t>箱根</t>
  </si>
  <si>
    <t>「2016台德青年暑期營計畫」(105-2911-I-001-524)</t>
  </si>
  <si>
    <t>參加科技部「2016台德青年暑期營計畫」, 於105年7月3日至9月29日赴德國研習。</t>
  </si>
  <si>
    <t>105/07/03-105/09/29</t>
  </si>
  <si>
    <t>科技部台法幽蘭計畫【105-2911-I-001-501】人員交流訪問案</t>
  </si>
  <si>
    <t>本執行科技部台法幽蘭計畫【以腺苷酸藥物在小鼠模型中治療阿茲海默症】人員交流訪問案, 於105年7月11日至13日前往法國里爾INSERM訪問。</t>
  </si>
  <si>
    <t>105/07/10-105/07/15</t>
  </si>
  <si>
    <t>科技部台法幽蘭計畫105-2911-I-001-501人員交流訪問案,</t>
  </si>
  <si>
    <t>執行科技部台法幽蘭計畫人員交流訪問案, 進行【以腺苷酸藥物在小鼠模型中治療阿茲海默症】研究。</t>
  </si>
  <si>
    <t>105/07/10-105/07/19</t>
  </si>
  <si>
    <t>科技部台法幽蘭計畫105-2911-I-001-501人員交流訪問案</t>
  </si>
  <si>
    <t>105/01/27-105/02/13</t>
  </si>
  <si>
    <t>105/02/07-105/03/09</t>
  </si>
  <si>
    <t>清奈(Chennai)</t>
  </si>
  <si>
    <t>105/09/16-105/09/29</t>
  </si>
  <si>
    <t>下諾夫哥羅德 Nizhny Novgorod</t>
  </si>
  <si>
    <t>105/08/31-105/10/23</t>
  </si>
  <si>
    <t>千葉縣柏市</t>
  </si>
  <si>
    <t>105/10/09-105/10/21</t>
  </si>
  <si>
    <t>千葉縣柏市 茨城縣筑波市</t>
  </si>
  <si>
    <t>高解析度地表三維輻射傳遞參數化之發展_MOST 104-2111-M-001-008-</t>
  </si>
  <si>
    <t>105/01/15-105/04/08</t>
  </si>
  <si>
    <t>鳥類羽毛及鱗片相關基因之比較基因體學和功能研究_MOST 104-2621-B-001-003-MY3</t>
  </si>
  <si>
    <t>105/02/06-105/02/19</t>
  </si>
  <si>
    <t>休士頓(Houston,Texas) 芝加哥(Chicago,Illinois) Madison, WI</t>
  </si>
  <si>
    <t>台法國合計畫-臺法海洋生 樣性調查與深海底棲動物 化之研究(TFDeepEvo)_NSC 102-2923-B-002-001-MY3</t>
  </si>
  <si>
    <t>105/08/31-105/09/16</t>
  </si>
  <si>
    <t>香港(Hong Kong) 白海工作站 莫斯科(Moscow)</t>
  </si>
  <si>
    <t>105/10/30-105/11/03</t>
  </si>
  <si>
    <t>105/06/27-105/07/01</t>
  </si>
  <si>
    <t>臺俄國合計畫─南西伯利亞乾旱區的不完全對流湖的微生物變遷：現在和過去_MOST 105-2923-B-001-001-MY3</t>
  </si>
  <si>
    <t>105/08/01-105/08/11</t>
  </si>
  <si>
    <t>克拉斯諾亞爾斯克</t>
  </si>
  <si>
    <t>莫斯科(Moscow) 白海工作站</t>
  </si>
  <si>
    <t>討論第8屆亞太生物多樣性觀測網在台舉行之籌備與 討論亞洲生物多樣性資訊學訓練研習課程內容與規劃</t>
  </si>
  <si>
    <t>重新標定史賓諾沙：想像的問題化_MOST 104-2410-H-001-084-MY3</t>
  </si>
  <si>
    <t>105/04/13-105/04/30</t>
  </si>
  <si>
    <t>狄戎（Dijon) 里昂(Lyon) 巴黎(Paris)</t>
  </si>
  <si>
    <t>105/05/16-105/05/19</t>
  </si>
  <si>
    <t>日本江戶時代古義學派對朱熹《詩集傳》的批判(III)_MOST 104-2410-H-001-077-</t>
  </si>
  <si>
    <t>105/01/27-105/02/08</t>
  </si>
  <si>
    <t>荻生徂徠的《詩經》學研究_MOST 105-2410-H-001-093-</t>
  </si>
  <si>
    <t>105/07/05-105/07/14</t>
  </si>
  <si>
    <t>革命與轉化：德國漢學與批判理論的跨文化潛力篇思想研究_MOST 104-2410-H-001-086-</t>
  </si>
  <si>
    <t>105/04/08-105/08/15</t>
  </si>
  <si>
    <t>文本相重與義理建構──清華簡〈傅說之命〉三篇思想研究_MOST 104-2410-H-001-082-</t>
  </si>
  <si>
    <t>105/07/20-105/07/23</t>
  </si>
  <si>
    <t>金剛寶劍倚天寒：明清僧家自我書寫研究中的神聖空間與娑婆世界_MOST 104-2410-H-001-073-MY3</t>
  </si>
  <si>
    <t>105/07/27-105/08/03</t>
  </si>
  <si>
    <t>資料庫對於概念史研究的輔助與應用：以19世紀東來傳教士所編字典為例_MOST 104-2420-H-001-011-MY2</t>
  </si>
  <si>
    <t>105/08/12-105/08/21</t>
  </si>
  <si>
    <t>105/07/27-105/09/06</t>
  </si>
  <si>
    <t>洛杉磯(Los Angeles,California) 亞特蘭大(Atlanta,Georgia) 芝加哥(Chicago,Illinois)</t>
  </si>
  <si>
    <t>104/09/12-105/02/08</t>
  </si>
  <si>
    <t>加州戴維斯Davis Johnson,VT</t>
  </si>
  <si>
    <t>105/02/29-105/03/07</t>
  </si>
  <si>
    <t>圖森(Tucson)</t>
  </si>
  <si>
    <t>105/02/06-105/03/06</t>
  </si>
  <si>
    <t>萊頓(Leiden)</t>
  </si>
  <si>
    <t>105/03/08-105/03/15</t>
  </si>
  <si>
    <t>104/12/30-105/01/07</t>
  </si>
  <si>
    <t>拉塞雷納(La Serena)</t>
  </si>
  <si>
    <t>105/01/17-105/01/22</t>
  </si>
  <si>
    <t>105/04/05-105/04/16</t>
  </si>
  <si>
    <t>105/01/28-105/02/08</t>
  </si>
  <si>
    <t>105/01/08-105/02/06</t>
  </si>
  <si>
    <t>諾福克(Norfolk,Virginia)(11/01-03/31)</t>
  </si>
  <si>
    <t>105/01/18-105/01/25</t>
  </si>
  <si>
    <t>105/02/15-105/02/18</t>
  </si>
  <si>
    <t>105/02/17-105/02/27</t>
  </si>
  <si>
    <t>105/02/21-105/02/26</t>
  </si>
  <si>
    <t>105/02/14-105/02/22</t>
  </si>
  <si>
    <t>105/01/12-105/01/18</t>
  </si>
  <si>
    <t>105/02/14-105/02/17</t>
  </si>
  <si>
    <t>105/02/19-105/02/23</t>
  </si>
  <si>
    <t>105/09/03-105/12/02</t>
  </si>
  <si>
    <t>帕莎蒂娜(Pasadena, California) 西維吉尼亞州Green Bank</t>
  </si>
  <si>
    <t>ERG 衛星開發研究_MOST 105-3111-Y-001-042</t>
  </si>
  <si>
    <t>105/12/16-105/12/21</t>
  </si>
  <si>
    <t>從格陵蘭看黑洞_MOST 103-2515-S-001-003-MY3</t>
  </si>
  <si>
    <t>105/12/20-105/12/22</t>
  </si>
  <si>
    <t>105/12/12-105/12/19</t>
  </si>
  <si>
    <t>105/10/08-105/10/15</t>
  </si>
  <si>
    <t>105/03/18-105/04/17</t>
  </si>
  <si>
    <t>諾福克(Norfolk,Virginia)(11/01-03/31) 諾福克(Norfolk,Virginia)(04/01-10/31)</t>
  </si>
  <si>
    <t>105/04/29-105/05/14</t>
  </si>
  <si>
    <t>諾福克(Norfolk,Virginia)(04/01-10/31)</t>
  </si>
  <si>
    <t>105/01/17-105/04/12</t>
  </si>
  <si>
    <t>帕莎蒂娜(Pasadena, California) 柏克萊(Brkeley, California) 史丹佛(Stanford,California)</t>
  </si>
  <si>
    <t>105/07/24-105/07/28</t>
  </si>
  <si>
    <t>105/07/17-105/07/21</t>
  </si>
  <si>
    <t>105/06/22-105/08/23</t>
  </si>
  <si>
    <t>薛倫斯維爾(Charlottesville) 大學公園市(College Park)</t>
  </si>
  <si>
    <t>105/05/28-105/06/07</t>
  </si>
  <si>
    <t>仙台(Sendai) 松山市(Matsuyama)</t>
  </si>
  <si>
    <t>105/06/21-105/06/24</t>
  </si>
  <si>
    <t>105/04/25-105/04/30</t>
  </si>
  <si>
    <t>105/04/25-105/06/27</t>
  </si>
  <si>
    <t>聖塔芭芭拉(Santa Barbara)</t>
  </si>
  <si>
    <t>105/06/14-105/06/23</t>
  </si>
  <si>
    <t>105/05/29-105/07/04</t>
  </si>
  <si>
    <t>相模原巿(Sagamihara)</t>
  </si>
  <si>
    <t>105/06/06-105/07/04</t>
  </si>
  <si>
    <t>神奈川(Kanagawa)</t>
  </si>
  <si>
    <t>105/09/03-105/09/25</t>
  </si>
  <si>
    <t>105/01/03-105/01/15</t>
  </si>
  <si>
    <t>夏威夷州(State of Hawaii) 諾福克(Norfolk,Virginia)(11/01-03/31)</t>
  </si>
  <si>
    <t>105/09/28-105/10/04</t>
  </si>
  <si>
    <t>105/04/27-105/05/20</t>
  </si>
  <si>
    <t>超大質量黑洞跟它們在星系演化中扮演的角色 (II)_MOST 105-2112-M-001-024-</t>
  </si>
  <si>
    <t>105/09/09-105/09/24</t>
  </si>
  <si>
    <t>夏威夷州(State of Hawaii) 東京(Tokyo)</t>
  </si>
  <si>
    <t>105/09/04-105/09/11</t>
  </si>
  <si>
    <t>105/09/28-105/10/01</t>
  </si>
  <si>
    <t>山口縣(Yamaguchi)</t>
  </si>
  <si>
    <t>神奈川(Sagamihara)</t>
  </si>
  <si>
    <t>105/09/20-105/09/26</t>
  </si>
  <si>
    <t>105/09/28-105/09/30</t>
  </si>
  <si>
    <t>德國(Germany) 瑞士(Switzerland)</t>
  </si>
  <si>
    <t>慕尼黑(Munich) 伯恩(Bern)</t>
  </si>
  <si>
    <t>105/10/09-105/10/15</t>
  </si>
  <si>
    <t>105/08/28-105/09/26</t>
  </si>
  <si>
    <t>105/09/27-105/10/09</t>
  </si>
  <si>
    <t>105/11/21-105/12/02</t>
  </si>
  <si>
    <t>105/11/19-105/12/06</t>
  </si>
  <si>
    <t>105/11/23-105/11/28</t>
  </si>
  <si>
    <t>赴美國加州大學洛杉磯分校(UCLA)及加州理工學院(Caltech)進行阿塔卡瑪大型毫米及次毫米波陣列計畫(ALMA)相關學術研究及學術演講，後轉赴中國大陸中國科學院上海天文台(SHAO)參與JCMT望遠鏡計畫之研究討論。</t>
  </si>
  <si>
    <t>105/10/10-105/10/19</t>
  </si>
  <si>
    <t>洛杉磯(Los Angeles,California) 上海(Shanghai)</t>
  </si>
  <si>
    <t>105/08/21-105/10/17</t>
  </si>
  <si>
    <t>105/10/27-105/10/30</t>
  </si>
  <si>
    <t>105/10/12-105/10/19</t>
  </si>
  <si>
    <t>Ichinoseki-shi</t>
  </si>
  <si>
    <t>105/03/25-105/04/28</t>
  </si>
  <si>
    <t>105/04/16-105/04/20</t>
  </si>
  <si>
    <t>Atacama 大型毫米/次毫米 列-台灣計畫_MOST 103-2119-M-001-010-MY2</t>
  </si>
  <si>
    <t>105/03/25-105/04/02</t>
  </si>
  <si>
    <t>薛倫斯維爾(Charlottesville) 諾福克(Norfolk,Virginia)(04/01-10/31)</t>
  </si>
  <si>
    <t>105/04/01-105/04/10</t>
  </si>
  <si>
    <t>105/04/17-105/04/20</t>
  </si>
  <si>
    <t>105/03/23-105/04/07</t>
  </si>
  <si>
    <t>105/04/21-105/04/30</t>
  </si>
  <si>
    <t>105/04/01-105/04/17</t>
  </si>
  <si>
    <t>105/01/12-105/01/15</t>
  </si>
  <si>
    <t>105/03/07-105/03/28</t>
  </si>
  <si>
    <t>105/04/15-105/05/02</t>
  </si>
  <si>
    <t>格拉納達(Granada)</t>
  </si>
  <si>
    <t>105/04/25-105/05/09</t>
  </si>
  <si>
    <t>英國(United Kingdom) 荷蘭(Netherlands) 法國(France)</t>
  </si>
  <si>
    <t>倫敦(London) 萊頓（Leiden） 尼斯(Nice)</t>
  </si>
  <si>
    <t>105/05/11-105/06/01</t>
  </si>
  <si>
    <t>105/01/09-105/03/21</t>
  </si>
  <si>
    <t>105/04/08-105/05/12</t>
  </si>
  <si>
    <t>105/04/08-105/05/07</t>
  </si>
  <si>
    <t>105/05/03-105/05/21</t>
  </si>
  <si>
    <t>105/04/23-105/04/28</t>
  </si>
  <si>
    <t>105/05/29-105/06/01</t>
  </si>
  <si>
    <t>105/03/18-105/05/14</t>
  </si>
  <si>
    <t>105/05/01-105/05/20</t>
  </si>
  <si>
    <t>105/04/06-105/04/28</t>
  </si>
  <si>
    <t>(柏市)Kashiwa 東京(Tokyo)</t>
  </si>
  <si>
    <t>105/08/24-105/08/29</t>
  </si>
  <si>
    <t>105/08/22-105/08/28</t>
  </si>
  <si>
    <t>柏市(Kashiwa)</t>
  </si>
  <si>
    <t>105/07/24-105/08/20</t>
  </si>
  <si>
    <t>105/08/22-105/08/27</t>
  </si>
  <si>
    <t>105/08/20-105/10/01</t>
  </si>
  <si>
    <t>赴日本東京工學院大學(Kogakuin University)、日本東京國立天文台(NAOJ)進行阿塔卡瑪大型毫米及次毫米波陣列計畫(ALMA)相關學術研究，後前往中國大陸中國科學院上海天文台(SHAO)參與JCMT望遠鏡計畫之研究討論。</t>
  </si>
  <si>
    <t>105/10/11-105/10/19</t>
  </si>
  <si>
    <t>東京(Tokyo) 上海(Shanghai)</t>
  </si>
  <si>
    <t>105/08/22-105/08/25</t>
  </si>
  <si>
    <t>105/07/26-105/08/08</t>
  </si>
  <si>
    <t>水澤市(Mizusawa)</t>
  </si>
  <si>
    <t>105/07/11-105/08/18</t>
  </si>
  <si>
    <t>跨政權下的帝國商人：以十九世紀到二十世紀初的臺南郊商為中心_MOST104-2410-H-001-036</t>
  </si>
  <si>
    <t>105/06/27-105/07/03</t>
  </si>
  <si>
    <t>京都(Kyoto) 大阪(Osaka)</t>
  </si>
  <si>
    <t>由「臺灣物」來看近現代的臺灣──「民謠」、空間、文化認同、國家統合_MOST105-2410-H-001-099-MY2</t>
  </si>
  <si>
    <t>105/11/06-105/11/10</t>
  </si>
  <si>
    <t>為權力或是為權利?臺灣日 時期法律社群研究_MOST103-2410-H-001-041-MY2</t>
  </si>
  <si>
    <t>「人文創新與社會實踐」資料庫建置計畫_MOST102-2420-H-001-011-MY3</t>
  </si>
  <si>
    <t>105/07/10-105/07/17</t>
  </si>
  <si>
    <t>大阪(Osaka) 京都(Kyoto) 神戶(Kobe) 山口</t>
  </si>
  <si>
    <t>大阪(Osaka) 神戶(Kobe) 山口</t>
  </si>
  <si>
    <t>105/03/12-105/03/13</t>
  </si>
  <si>
    <t>105/01/20-105/02/03</t>
  </si>
  <si>
    <t>東京(Tokyo) 華盛頓特區(Washington)</t>
  </si>
  <si>
    <t>濟州(Cheju) 首爾(Seoul)</t>
  </si>
  <si>
    <t>105/11/05-105/11/19</t>
  </si>
  <si>
    <t>105/04/22-105/06/24</t>
  </si>
  <si>
    <t>法國(France) 波蘭(Poland) 匈牙利(Hungary)</t>
  </si>
  <si>
    <t>巴黎(Paris) 華沙(Warsaw) 克拉科(Krakow) 布達佩斯(Budapest)</t>
  </si>
  <si>
    <t>105/07/11-105/07/14</t>
  </si>
  <si>
    <t>105/06/26-105/07/07</t>
  </si>
  <si>
    <t>艾克斯普羅旺斯(Aix-en-Provence) Aachen</t>
  </si>
  <si>
    <t>105/06/17-105/07/12</t>
  </si>
  <si>
    <t>印度(India) 中國大陸(China)</t>
  </si>
  <si>
    <t>Guwahati 成都(Chengdu)</t>
  </si>
  <si>
    <t>與Prof. Wolf Frommer from Stanford U and Prof. Lucia Strader from Wash U 合作on the entitled”identification of a transporter for the important hormone IBA”. 需要更多實驗結果,例如:電生理，同位素等實驗，與先前研究成果來發表在Science國際期刊。</t>
  </si>
  <si>
    <t>105/06/10-105/08/29</t>
  </si>
  <si>
    <t>Santa Fe, New Mexico La Jolla, California 史丹佛(Stanford,California)</t>
  </si>
  <si>
    <t>探討肌醇磷酸鹽生合成途徑調控植物體內磷酸訊息傳導的分子機制(2/3)_MOST105-2321-B-001-038-</t>
  </si>
  <si>
    <t>計畫名稱: 探討肌醇磷酸鹽生合成途徑調控植物體內磷酸訊息傳導的分子機制 內容簡述: 進行植物活體放射性同位素標定及肌醇磷酸鹽之生化分析; 資料分析與討論; 論文發表準備.</t>
  </si>
  <si>
    <t>105/09/10-105/10/29</t>
  </si>
  <si>
    <t>菸草嵌紋病毒複製前期相關寄主因子之探討_MOST 103-2313-B-001-005-MY2</t>
  </si>
  <si>
    <t>附美國加州大學戴維斯分校Dr.BryceFalk實驗室討論抗病毒策略之發展,並演講</t>
  </si>
  <si>
    <t>105/06/22-105/06/30</t>
  </si>
  <si>
    <t>戴維斯(Davis, California)</t>
  </si>
  <si>
    <t>以體學方法開發具生物活性之植物化合物2/2(台英計畫)--預控系統列於-創新轉譯農學項下_104-2911-I-001-504</t>
  </si>
  <si>
    <t>參與臺英NSC-BBSRC國際夥伴關係建立暨交流計畫(IPA) ｢以體學方法開發具生物活性之植物化合物」學術參訪交流活動，以增進雙方機構實質學術技術交流 。</t>
  </si>
  <si>
    <t>105/07/26-105/07/31</t>
  </si>
  <si>
    <t>105/07/26-105/08/02</t>
  </si>
  <si>
    <t>105/07/26-105/08/09</t>
  </si>
  <si>
    <t>SUMO蛋白(酉+每),SMT7,在衣藻內調控細胞大小相關細胞週期的探討_MOST104-2311-B-001-027</t>
  </si>
  <si>
    <t>SUMO蛋白酶,SMT7,在衣藻內MAT3相關細胞大小調控機制的探討衣藻RB突變種，mat3-4，造成小細胞表現型。抑制遺傳篩選讓我們發現類泛素蛋白質酶SMT7 的突變部分抑制mat3-4 小細胞表現型。我們將發表證實類泛素蛋白質酶具有調控細胞大小的功能。</t>
  </si>
  <si>
    <t>105/06/26-105/07/01</t>
  </si>
  <si>
    <t>時間相關的密度泛函理論研究：在金屬和半導體的光吸收多體耗散過程_MOST 105-2112-M-001-010-</t>
  </si>
  <si>
    <t>105/11/09-105/12/14</t>
  </si>
  <si>
    <t>105/10/03-105/12/21</t>
  </si>
  <si>
    <t>105/04/01-105/05/02</t>
  </si>
  <si>
    <t>與時間相關的超越絕熱局域密度近似密度泛函理論：在準二維晶體運營商的動態。_MOST 104-2112-M-001-007-</t>
  </si>
  <si>
    <t>105/02/29-105/03/31</t>
  </si>
  <si>
    <t>105/05/24-105/07/13</t>
  </si>
  <si>
    <t>俄羅斯(Russia) 西班牙(Spain) 德國(Germany)</t>
  </si>
  <si>
    <t>海參崴(Vladivostok) 畢爾包(Bilbao) Halle</t>
  </si>
  <si>
    <t>有機太陽能電池之全電腦實驗模擬</t>
  </si>
  <si>
    <t>104/07/02-104/07/30</t>
  </si>
  <si>
    <t>美茵茨(Mainz)</t>
  </si>
  <si>
    <t>張亞中特聘研究員申請2015年「台法科技獎」乙案，獲臺法雙方委員推薦得獎。補助編號:104-2911-I-001-529。</t>
  </si>
  <si>
    <t>105年度科技部補助「本部與法國國家科學院科技華作協議(1/1)-雙邊人員互訪」，補助編號: 105-2911-I-001-530</t>
  </si>
  <si>
    <t>計畫核定編號:105-2911-I-001-511-MY2/台德國際合作人員交流PPP計畫</t>
  </si>
  <si>
    <t>105/04/04-105/04/17</t>
  </si>
  <si>
    <t>萊比錫</t>
  </si>
  <si>
    <t>105/06/23-105/06/30</t>
  </si>
  <si>
    <t>105/06/20-105/07/05</t>
  </si>
  <si>
    <t>105/08/29-105/09/06</t>
  </si>
  <si>
    <t>大阪(Osaka) 相生</t>
  </si>
  <si>
    <t>生技醫藥國家型科技計畫資源中心及生技類核心設施辦公室暨技術管理組(VI)_MOST105-3113-F-001-002-MY2</t>
  </si>
  <si>
    <t>抗流感病毒通用型疫苗之研發(2/3)_MOST 104-2325-B-001-007</t>
  </si>
  <si>
    <t>105/04/21-105/04/22</t>
  </si>
  <si>
    <t>105/04/20-105/04/24</t>
  </si>
  <si>
    <t>測試抗體染色條件_28T-1040122-1Q</t>
  </si>
  <si>
    <t>105/04/19-105/04/29</t>
  </si>
  <si>
    <t>擷取、檢測及分析循環性癌細胞（CTCs）作為胰臟癌早期診斷與治療－胰臟CTC及 發癌細胞的鑑定,描述及分_MOST104-2321-B-001-015</t>
  </si>
  <si>
    <t>105/07/16-105/11/07</t>
  </si>
  <si>
    <t>史丹佛(Stanford,California) 舊金山(San Francisco,California) 劍橋(Cambridge,Massachusetts) 華盛頓特區(Washington) 紐哈芬(NewHaven, Connecticut)</t>
  </si>
  <si>
    <t>105/10/15-105/10/24</t>
  </si>
  <si>
    <t>105/08/07-105/08/22</t>
  </si>
  <si>
    <t>105/10/06-105/10/07</t>
  </si>
  <si>
    <t>105/10/13-105/10/22</t>
  </si>
  <si>
    <t>公．私領域之間：長崎僑領陳世望（1901-1940）_104-2410-H-001-034-</t>
  </si>
  <si>
    <t>105/03/22-105/03/30</t>
  </si>
  <si>
    <t>自由民主與社會主義：兼及當代中國的自由民主論爭_103-2410-H-001-064-MY3</t>
  </si>
  <si>
    <t>105/09/04-105/09/15</t>
  </si>
  <si>
    <t>105/09/10-105/10/03</t>
  </si>
  <si>
    <t>匈牙利(Hungary) 瑞典(Sweden) 波蘭(Poland) 德國(Germany)</t>
  </si>
  <si>
    <t>布達佩斯(Budapest) 斯德哥爾摩(Stockholm) 弗羅茨瓦夫(Wrocław) 華沙(Warsaw) 法蘭克福(Frankfurt)</t>
  </si>
  <si>
    <t>如何將臺灣原住民族傳統規範習慣轉譯為法學語言：法律史學觀點的先行研究_MOST 104-2410-H-001-027</t>
  </si>
  <si>
    <t>105/08/13-105/08/26</t>
  </si>
  <si>
    <t>德國憲法學實質化路線之反思與批判_MOST 105-2410-H-001-070-MY3</t>
  </si>
  <si>
    <t>105/10/01-105/10/10</t>
  </si>
  <si>
    <t>105/07/06-105/07/09</t>
  </si>
  <si>
    <t>105/10/24-105/11/07</t>
  </si>
  <si>
    <t>行動App通訊監察軟體_103-000007</t>
  </si>
  <si>
    <t>105/12/08-105/12/13</t>
  </si>
  <si>
    <t>105/12/13-105/12/14</t>
  </si>
  <si>
    <t>創新轉譯農學研究計畫，參加第11屆國際海洋生物科技研討會。參與本次會議除凸顯臺灣特色並與國際學術研究接軌，更有助於促進國內海洋生物技術研究及相關跨領域科學與技術之發展。</t>
  </si>
  <si>
    <t>同調性繞射影像(Coherent diffraction imaging,CDI)樣品處理以及基板製作</t>
  </si>
  <si>
    <t>赴日本Spring-8執行蛋白質相關實驗</t>
  </si>
  <si>
    <t>協助打造世界級蛋白質研發重鎮計畫執行，5/9-5/11前往日本SPring8進行蛋白質研究數據收集，5/12-5/15前往東京Chiba Institute of Technology洽談雙方合作計畫執行現況與未來研究內容規劃</t>
  </si>
  <si>
    <t>兵庫縣(Hyogo) 東京(Tokyo) 京都(Kyoto)</t>
  </si>
  <si>
    <t>赴日本Spring-8進行實驗（其餘生活費由日本支應）</t>
  </si>
  <si>
    <t>105/04/07-105/04/13</t>
  </si>
  <si>
    <t>兵庫 京都(Kyoto)</t>
  </si>
  <si>
    <t>105/05/09-105/05/12</t>
  </si>
  <si>
    <t>105/05/09-105/05/16</t>
  </si>
  <si>
    <t>赴日本Spring-8進行實驗</t>
  </si>
  <si>
    <t>105/02/01-105/02/10</t>
  </si>
  <si>
    <t>至日本兵庫縣輻射中心以X-ray獲取蛋白質晶體繞射數據</t>
  </si>
  <si>
    <t>赴日本兵庫縣同步輻射中心執行蛋白質相關實驗</t>
  </si>
  <si>
    <t>105/07/11-105/07/15</t>
  </si>
  <si>
    <t>TPP與劍橋大學合作計劃</t>
  </si>
  <si>
    <t>105/03/26-105/06/24</t>
  </si>
  <si>
    <t>105/06/19-105/06/23</t>
  </si>
  <si>
    <t>赴日本SPring-8 使用同步輻射進行蛋白質繞射實驗</t>
  </si>
  <si>
    <t>105/06/21-105/06/23</t>
  </si>
  <si>
    <t>至日本大阪兵庫縣Spring8收實驗數據</t>
  </si>
  <si>
    <t>105/07/12-105/07/14</t>
  </si>
  <si>
    <t>到日本Spring-8 進行蛋白質實驗</t>
  </si>
  <si>
    <t>105/11/14-105/11/18</t>
  </si>
  <si>
    <t>赴日本Spring-8 進行蛋白質實驗</t>
  </si>
  <si>
    <t>到日本spring-8 進行蛋白質實驗</t>
  </si>
  <si>
    <t>105/09/27-105/10/01</t>
  </si>
  <si>
    <t>105/12/07-105/12/09</t>
  </si>
  <si>
    <t>兵庫縣光都</t>
  </si>
  <si>
    <t>前往Dr. Nietlispach實驗室進行膜蛋白質研究</t>
  </si>
  <si>
    <t>105/10/07-106/01/04</t>
  </si>
  <si>
    <t>與日本SPring8 洽談雙邊合作狀況及光束線使用事宜</t>
  </si>
  <si>
    <t>105/11/04-105/11/06</t>
  </si>
  <si>
    <t>兵庫縣Hyogo</t>
  </si>
  <si>
    <t>赴日本SP8進行研究及合作計畫進度討論</t>
  </si>
  <si>
    <t>赴日本與合作研究單位進行進度討論</t>
  </si>
  <si>
    <t>105/12/18-105/12/20</t>
  </si>
  <si>
    <t>橫濱(Yokohama) 東京(Tokyo)</t>
  </si>
  <si>
    <t>前往日本進行蛋白質研究及合作計畫討論</t>
  </si>
  <si>
    <t>兵庫縣Hyogo 橫濱(Yokohama)</t>
  </si>
  <si>
    <t>執行打造世界級蛋白質研究重鎮研究計畫，赴日本兵庫縣SP8進行與蛋白質X光繞射數據研究。</t>
  </si>
  <si>
    <t>105/06/17-105/06/25</t>
  </si>
  <si>
    <t>兵庫縣(Hyogo)</t>
  </si>
  <si>
    <t>執行TPP研究計畫與合作計畫，赴日本進行研究數據收集及合作計畫討論</t>
  </si>
  <si>
    <t>105/06/06-105/06/12</t>
  </si>
  <si>
    <t>福岡(Fukuoka) 兵庫縣(Hyogo) 東京(Tokyo)</t>
  </si>
  <si>
    <t>執行TPP研究與合作計畫，前往日本進行討論、實驗研究數據收集</t>
  </si>
  <si>
    <t>105/07/07-105/07/14</t>
  </si>
  <si>
    <t>東京(Tokyo) 兵庫縣(Hyogo)</t>
  </si>
  <si>
    <t>執行計畫前日本進行實驗、與合作單位洽談研究狀況</t>
  </si>
  <si>
    <t>兵庫縣 京都(Kyoto) 橫濱(Yokohama)</t>
  </si>
  <si>
    <t>赴日參加會議、進行實驗</t>
  </si>
  <si>
    <t>105/09/22-105/10/02</t>
  </si>
  <si>
    <t>仙台Sendai 兵庫縣Hyogo 廣島(Hiroshima)</t>
  </si>
  <si>
    <t>105/11/14-105/11/17</t>
  </si>
  <si>
    <t>赴日本RIKEN SPring-8同步輻射進行X-ray蛋白質繞射數據收集及LCP晶體培養</t>
  </si>
  <si>
    <t>105/05/17-105/05/22</t>
  </si>
  <si>
    <t>105/05/23-105/05/30</t>
  </si>
  <si>
    <t>105/05/18-105/05/19</t>
  </si>
  <si>
    <t>附法國巴黎、美國紐約及韓國浦項進行相關X光研究，有關同調性繞射影像(Coherent diffraction imaging,CDI)樣品處理以及基板製作</t>
  </si>
  <si>
    <t>\韓國浦項進行相關X光研究，有關同調性繞射影像(Coherent diffraction imaging,CDI)樣品處理以及基板製作</t>
  </si>
  <si>
    <t>大陸等地區</t>
  </si>
  <si>
    <t>參加並領取 2016 ISBAB 國際生物催化暨農業生技學會 傑出貢獻獎</t>
  </si>
  <si>
    <t>105/10/16-105/10/17</t>
  </si>
  <si>
    <t>丟蕃圖幾何與算術動力系統(孫嘉梁)_MOST104-2115-M-001-012-MY3</t>
  </si>
  <si>
    <t>受邀參加2016東亞數論會議</t>
  </si>
  <si>
    <t>天津市</t>
  </si>
  <si>
    <t>天津(Tianjin)</t>
  </si>
  <si>
    <t>賽局論及隨機人口模型(周雲雄)_MOST104-2115-M-001-003-MY2</t>
  </si>
  <si>
    <t>受邀參加 The 12th Workshop on Markov Processes and Related Topics</t>
  </si>
  <si>
    <t>105/07/12-105/07/19</t>
  </si>
  <si>
    <t>江蘇省</t>
  </si>
  <si>
    <t>熱電的物理機制探討與再生能源之應用_MOST103-2112-M-001-021-MY3</t>
  </si>
  <si>
    <t>黃泰翔105年05月27日至105年06月02日赴大陸武漢出席會議，並發表論文。</t>
  </si>
  <si>
    <t>105/05/27-105/06/02</t>
  </si>
  <si>
    <t>赴香港參加Gordon Research Seminar與Gordon Research Conference並發表論文。</t>
  </si>
  <si>
    <t>陳洋元105年05月28日至105年06月02日赴大陸武漢出席會議，並發表論文。</t>
  </si>
  <si>
    <t>於2016-10-14至2016-10-17赴山西大學參加第12屆全國複雜網络學術會議CCCN 2016</t>
  </si>
  <si>
    <t>105/10/09-105/10/18</t>
  </si>
  <si>
    <t>山西 江蘇 湖北</t>
  </si>
  <si>
    <t>太原 南京(Nanjing) 武漢(Wu Han)</t>
  </si>
  <si>
    <t>安參加第二屆海峽兩岸奈米生醫光電研討會並成邀請講者。</t>
  </si>
  <si>
    <t>105/05/02-105/05/06</t>
  </si>
  <si>
    <t>力學不穩定性對發育和疾病的影響_MOST104-2112-M-001-043-MY3</t>
  </si>
  <si>
    <t>出席"2016 Intl. Conference on Strongly Correlated Electron System"(SCES 2016)會議，並受邀演講。</t>
  </si>
  <si>
    <t>浙江 上海市</t>
  </si>
  <si>
    <t>杭州(Hangzhou) 上海(Shanghai)</t>
  </si>
  <si>
    <t>出席「2016年量子色動力學研討會並發表學術論文演講。</t>
  </si>
  <si>
    <t>赴香港出席國際會議「Hong Kong Forum of Physics 2015: Novel Quantum States and Their Manipulations」並受邀演講</t>
  </si>
  <si>
    <t>105/01/09-105/01/12</t>
  </si>
  <si>
    <t>吳茂昆105年01月09日至01月11日前往香港參加"Hong Kong Forum 2015: Novel Quantum States and Their Manipulations (HKFP-2015)"會議。</t>
  </si>
  <si>
    <t>105/01/09-105/01/11</t>
  </si>
  <si>
    <t>吳東澤擬於105年5月28日至6月2日赴中國武漢參加會議</t>
  </si>
  <si>
    <t>105/05/28-105/06/02</t>
  </si>
  <si>
    <t>蘇楷涵擬於105年5月28日至6月2日赴中國武漢參加會議</t>
  </si>
  <si>
    <t>歐盟奈米材料研究計畫:複 材料的物理性質(3/3)_MOST104-2923-M-001-004</t>
  </si>
  <si>
    <t>2016-04-24至2016-04-28赴大連參加the 6th World Congress of Molecular &amp; Cell Biology 2016 (CMCB-2016, 第六屆分子與細胞生物學世界大會)，並發表論文，於2016-05-07至2016-05-09赴杭州參加「全國軟物質與複雜系統研討會」，並發表論文。</t>
  </si>
  <si>
    <t>105/04/22-105/05/12</t>
  </si>
  <si>
    <t>遼寧 上海市 浙江</t>
  </si>
  <si>
    <t>大連(Dalian) 上海(Shanghai) 杭州(Hangzhou)</t>
  </si>
  <si>
    <t>上海市 浙江</t>
  </si>
  <si>
    <t>上海(Shanghai) 寧波(Ningbo)</t>
  </si>
  <si>
    <t>博士後研究魏百駿105年05月29日至105年06月01日赴大陸武漢出席會議，並發表論文。</t>
  </si>
  <si>
    <t>105/05/30-105/06/01</t>
  </si>
  <si>
    <t>蔡瑋瀚105年05月28日至105年06月02日赴大陸武漢出席會議，並發表論文。</t>
  </si>
  <si>
    <t>研究生(博士)邱凡芸105年05月28日至105年06月02日赴大陸武漢出席會議，並發表論文。</t>
  </si>
  <si>
    <t>博士後研究洪慈蓮105年05月28日至105年06月02日赴大陸武漢出席會議，並發表論文。</t>
  </si>
  <si>
    <t>李哲瑩105年05月28日至105年06月02日赴大陸武漢出席會議，並發表論文。</t>
  </si>
  <si>
    <t>李秉中105年05月28日至105年06月02日赴大陸武漢出席會議，並發表論文。</t>
  </si>
  <si>
    <t>105/05/28-105/06/09</t>
  </si>
  <si>
    <t>博士後研究陳正龍先生擬於105年05月28日至105年06月02日赴大陸武漢出席「The 35th International Conference &amp; the 1st Asian Conference on Thermoelectrics (ICT/ACT 2016)」會議，並發表論文。</t>
  </si>
  <si>
    <t>105/06/06-105/06/08</t>
  </si>
  <si>
    <t>廣州(Guangzhou)</t>
  </si>
  <si>
    <t>手性硫硼氧雜環陽離子應用於不對稱路易士酸催化反應之研究_105-2628-M-001-003-MY4</t>
  </si>
  <si>
    <t>榮獲2015亞洲尖端化學講座，應邀至香港進行一週講學</t>
  </si>
  <si>
    <t>計畫內容為染敏型太陽能電池相關研究,包括鈣鈦礦太陽能電池研究,本次將報告在鈣鈦礦太陽能電池研究之最新成果.</t>
  </si>
  <si>
    <t>105/09/19-105/09/24</t>
  </si>
  <si>
    <t>出國案由之工作內容主要在有機光電材料的設計合成和鑑定與相關元件的製作與測試</t>
  </si>
  <si>
    <t>105/08/07-105/08/11</t>
  </si>
  <si>
    <t>奈米結構應用於有機電子元件。製備並鑑定有機場效電晶體/記憶體元件，解決響應時間、記憶體壽命等問題之材料元件設計。本次出國將報導以五環素薄膜內至入各種奈米粒子為電荷捕捉劑之元件效果。</t>
  </si>
  <si>
    <t>參加2016 energy materials nanotechnology photovoltaic meeting on Hong Kong 並將近期的研究以海報的方式展現出來</t>
  </si>
  <si>
    <t>105/01/16-105/01/21</t>
  </si>
  <si>
    <t>赴中國南京參加2016 International Conference on Porphyrins and Phthalocyanines(ICPP-9)會議</t>
  </si>
  <si>
    <t>本次出國為參加 三維電顯國際會議 發表 科技部 用先進生物物理顯微技術 計畫 所開發之高解析度冷凍電子顯微鏡平台</t>
  </si>
  <si>
    <t>105/06/18-105/06/24</t>
  </si>
  <si>
    <t>10th Aseanian Conference on Nano-Hybrid Solar Cells 105-2914-I-001-045-A1</t>
  </si>
  <si>
    <t>亞太地區奈米雜化太陽能電池會議自2006年開辦以來，每年在世界各地舉辦。其中，2010年的會議是由台灣大學所舉辦。在新世代太陽能電池領域中具有高度前瞻性與領導性，會議涵蓋四大主題：(1) 鈣鈦礦太陽能電池 、(2) 染料/半導體敏化太陽能電池 、(3) 有機太陽能電池 、(4) 新穎電池材料與元件。</t>
  </si>
  <si>
    <t>OBS之水聲(Hydrphone)及深海水壓（Differential pressure gauge，DPG）資料差異特性分析與DPG儀器設計II_MOST104-2116-M-001-008</t>
  </si>
  <si>
    <t>參加2016(AOGS)亞洲大洋洲地球科學學會研討會</t>
  </si>
  <si>
    <t>105/07/30-105/08/06</t>
  </si>
  <si>
    <t>赴大陸蘭州參加2016 INTERNATIONAL EMSEV WORKSHOP ON Understanding Earthquakes and Volcanoes from Lithosphere to Space</t>
  </si>
  <si>
    <t>105/08/27-105/09/01</t>
  </si>
  <si>
    <t>甘肅</t>
  </si>
  <si>
    <t>蘭州</t>
  </si>
  <si>
    <t>在日磁層，地磁層，電磁層及岩石圈中的磁場重聯，快速震波，無線電輻射及電耦合機制_MOST104-2111-M-001-003-MY2</t>
  </si>
  <si>
    <t>出席雲南昆明海峽兩岸太空/空間科學研討會</t>
  </si>
  <si>
    <t>赴大陸北京參加13th Asia Oceania Geosciences Society (AOGS)會議</t>
  </si>
  <si>
    <t>赴大陸北京參加13th Asia Oceania Geosciences Society (AOGS)會議參展介紹台灣地震科學中心近年成果</t>
  </si>
  <si>
    <t>出席大陸北京舉辦2016中國地球科學聯合學術年會</t>
  </si>
  <si>
    <t>振動信號的時頻分析_MOST104-2116-M-001-003</t>
  </si>
  <si>
    <t>赴大陸北京參加亞洲大洋洲地球科學學會2016年度學術大會(AOGS)</t>
  </si>
  <si>
    <t>105/08/03-105/08/06</t>
  </si>
  <si>
    <t>參加在北京召開的2016 (AOGS)亞洲大洋洲地球科學學會研討會</t>
  </si>
  <si>
    <t>105/07/29-105/08/07</t>
  </si>
  <si>
    <t>13th Annual Meeting Asia Oceania Geosciences Society 105-2914-I-001 -039 -A1</t>
  </si>
  <si>
    <t>出席國際會議並發表論文。(ICASSP2016)</t>
  </si>
  <si>
    <t>105/03/21-105/03/26</t>
  </si>
  <si>
    <t>出席國際會議並發表論文。（2016 ICASSP）</t>
  </si>
  <si>
    <t>105/03/21-105/03/25</t>
  </si>
  <si>
    <t>105/01/25-105/01/28</t>
  </si>
  <si>
    <t>105/01/17-105/01/21</t>
  </si>
  <si>
    <t>出席國際會議並發表論文。(BigComp) 2016</t>
  </si>
  <si>
    <t>利用雲端運算與軟體架構進行巨量資料處理_MOST104-2221-E-001-012</t>
  </si>
  <si>
    <t>105/05/05-105/05/08</t>
  </si>
  <si>
    <t>出席國際會議並發表論文。(ICASSP)會議</t>
  </si>
  <si>
    <t>105/03/19-105/03/26</t>
  </si>
  <si>
    <t>代1298-MOST105-2914-I-001-005-A1（ICASSP）</t>
  </si>
  <si>
    <t>出席國際會議並發表論文。（ICASSP）</t>
  </si>
  <si>
    <t>探討組蛋白H3K36去甲基?Rph1在酵母菌老化過程調控基因表達之機制(植升)_MOST 104-2311-B-001-009-MY3</t>
  </si>
  <si>
    <t>計畫名稱:探討組蛋白H3K36去甲基酶Rph1在酵母菌老化過程調控基因表達之機制 國際學術會議上發表研究成果</t>
  </si>
  <si>
    <t>受邀參加第四屆國際維管束生物學研討會並擔任講員</t>
  </si>
  <si>
    <t>105/07/19-105/07/23</t>
  </si>
  <si>
    <t>探討小鼠嗅覺中心之神經分化_MOST104-2311-B-001-031-MY3</t>
  </si>
  <si>
    <t>參加冷泉港亞洲會議,The proposal is to study the neuronal differentiation mechanisms. In this meeting, we will present our study on the function of COUP-TF1 in neuronal specification.</t>
  </si>
  <si>
    <t>參加亞洲糖質聯盟第8次研討會</t>
  </si>
  <si>
    <t>105/10/13-105/10/19</t>
  </si>
  <si>
    <t>江蘇 上海市</t>
  </si>
  <si>
    <t>無錫 上海(Shanghai)</t>
  </si>
  <si>
    <t>105/12/16-105/12/22</t>
  </si>
  <si>
    <t>湖北省 湖北</t>
  </si>
  <si>
    <t>京山縣 武漢(Wu Han) 荊州 隨州市</t>
  </si>
  <si>
    <t>秦漢帝國的文書行政制度_MOST 104-2410-H-001-025-MY3</t>
  </si>
  <si>
    <t>亞洲佛教藝術圖典與知識系統之建構－佛教石刻造像碑圖文分析知識系統_MOST 105-2420-H-001-014</t>
  </si>
  <si>
    <t>因執行科技部計畫需要，前往北京房山雲居寺，參加「紀念房山石經刊刻與雲居寺創建1400周年國際學術研討會」，並發表論文；會後順道赴北京大學圖書館蒐集研究資料。</t>
  </si>
  <si>
    <t>105/09/08-105/09/14</t>
  </si>
  <si>
    <t>新見甲骨文字研究與增補_NSC 102-2410-H-001-092-MY3</t>
  </si>
  <si>
    <t>因執行科技部計畫「新見甲骨文字研究與增補」需要，前往北京清華大學參加「中國古文字研究會第二十一屆年會」，並發表論文。會後赴首都師範大學甲骨文研究中心考察該中心進行之甲骨文研究相關課題。</t>
  </si>
  <si>
    <t>105/10/20-105/10/30</t>
  </si>
  <si>
    <t>書札史料與清代學術研究_MOST 105-2410-H-001-097</t>
  </si>
  <si>
    <t>105/11/07-105/11/18</t>
  </si>
  <si>
    <t>廣東 福建</t>
  </si>
  <si>
    <t>廣州(Guangzhou) 福州(Fuzhou)</t>
  </si>
  <si>
    <t>105/07/18-105/07/27</t>
  </si>
  <si>
    <t>湖南省</t>
  </si>
  <si>
    <t>里耶鎮</t>
  </si>
  <si>
    <t>105/04/18-105/04/24</t>
  </si>
  <si>
    <t>105/10/28-105/11/06</t>
  </si>
  <si>
    <t>計畫名稱:高維迴歸模型中的群組與變數選擇: 理論,方法與應用 內容簡述: 高維度迴歸模型(包含高維度時間序列)在變數間具有群組結構之選模及其在時間序列資料之預測及晶圓品管之應用</t>
  </si>
  <si>
    <t>105/05/30-105/06/05</t>
  </si>
  <si>
    <t>Cox比例風險模型包含測量誤差變異之統計檢定評估_MOST 105-2118-M-001-003</t>
  </si>
  <si>
    <t>赴成都電子科技大學參加第十屆海峽兩岸機率與統計研討會(8/11-8/13)，以及赴北京大學研究並給演講</t>
  </si>
  <si>
    <t>105/08/06-105/08/17</t>
  </si>
  <si>
    <t>四川 北京市</t>
  </si>
  <si>
    <t>成都(Chengdu) 北京(Beijing)</t>
  </si>
  <si>
    <t>赴上海出席國際會議「The 10th ICSA International Conference」，發表演講，並組織一個邀請演講場次。</t>
  </si>
  <si>
    <t>105/12/18-105/12/23</t>
  </si>
  <si>
    <t>Active learning 為本計畫的主要課題。而此會議，我們將報告本計劃於active learning研究中之部分研究成果。</t>
  </si>
  <si>
    <t>105/12/18-105/12/22</t>
  </si>
  <si>
    <t>偵測癌組織DNA定序的小突變_MOST 105-2118-M-001-013</t>
  </si>
  <si>
    <t>受邀至中國上海於 105/12/19~105/12/22 出席 "The 10th ICSA International Conference"</t>
  </si>
  <si>
    <t>105/12/18-105/12/21</t>
  </si>
  <si>
    <t>利用長期追蹤之生物標記及健康行為資料進行疾病風險預測_MOST 104-2118-M-001-006-MY3</t>
  </si>
  <si>
    <t>Attending the 10th ICSA International Conference and present an invited talk.</t>
  </si>
  <si>
    <t>可逆馬可夫鏈多重加速法_MOST 104-2115-M-001-006</t>
  </si>
  <si>
    <t>出席國際會議, 發表論文</t>
  </si>
  <si>
    <t>徐州市</t>
  </si>
  <si>
    <t>參加2016第十屆海峽兩岸機率與統計研討會 (Aug 11–13) 應邀演講</t>
  </si>
  <si>
    <t>本次會議為海峽兩岸重要之統計學術會議，本人應邀擔任keynote Speaker，講題內容為本計畫內相關之研究成果。</t>
  </si>
  <si>
    <t>訊息源機率分佈驅動之時空獨立成份分析法及其訊息源造影之應用_MOST 105-2118-M-001-011</t>
  </si>
  <si>
    <t>受邀前往中國大陸四川成都電子科技大學參加 2016 第十屆海峽兩岸機率與統計研討會，並發表學術演講。</t>
  </si>
  <si>
    <t>奈米結構孔洞材料及有機/ 機觸媒之製備、物化特性 定與應用_MOST 104-2113-M-001-019</t>
  </si>
  <si>
    <t>105/08/13-105/08/22</t>
  </si>
  <si>
    <t>甘肅省</t>
  </si>
  <si>
    <t>敦煌市、蘭州市 蘭州市</t>
  </si>
  <si>
    <t>105/05/23-105/05/25</t>
  </si>
  <si>
    <t>105/10/22-105/10/26</t>
  </si>
  <si>
    <t>設計新穎二維材料及其在能源上的應用_MOST 105-2119-M-001-040-MY3</t>
  </si>
  <si>
    <t>105/10/23-105/10/26</t>
  </si>
  <si>
    <t>105/10/10-105/10/16</t>
  </si>
  <si>
    <t>重慶市 吉林省</t>
  </si>
  <si>
    <t>重慶(Chongqing) 白山市</t>
  </si>
  <si>
    <t>105/04/22-105/04/28</t>
  </si>
  <si>
    <t>105/08/09-105/08/17</t>
  </si>
  <si>
    <t>九江</t>
  </si>
  <si>
    <t>江西</t>
  </si>
  <si>
    <t>神經元樹突內的細胞作用機制(3/5)_MOST 105-2745-B-001-001 -ASP</t>
  </si>
  <si>
    <t>105/10/12-105/10/15</t>
  </si>
  <si>
    <t>探討非編碼RNA如何調控運動神經元在脊髓性肌肉萎縮症裡的退化_NHRI-EX105-10315NC</t>
  </si>
  <si>
    <t>105/07/29-105/08/02</t>
  </si>
  <si>
    <t>105/08/09-105/08/13</t>
  </si>
  <si>
    <t>105/08/27-105/08/31</t>
  </si>
  <si>
    <t>105/06/12-105/06/17</t>
  </si>
  <si>
    <t>105/09/18-105/09/25</t>
  </si>
  <si>
    <t>青島(Quingdao)</t>
  </si>
  <si>
    <t>105/08/03-105/08/05</t>
  </si>
  <si>
    <t>105/07/30-105/08/14</t>
  </si>
  <si>
    <t>兩岸共同研究議題─豪雨與颱風延續合作研究：氣溶膠物理化學對台灣海峽及周邊地區霧霾天氣之影響_MOST 103-2111-M-001-010-MY3</t>
  </si>
  <si>
    <t>105/04/13-105/04/15</t>
  </si>
  <si>
    <t>105/03/23-105/03/26</t>
  </si>
  <si>
    <t>105/07/27-105/08/06</t>
  </si>
  <si>
    <t>貴州</t>
  </si>
  <si>
    <t>貴陽(Guiyang)</t>
  </si>
  <si>
    <t>105/11/09-105/11/11</t>
  </si>
  <si>
    <t>全球氣候變遷與社會脆弱性：來自150國數據的證據，1980-2010_MOST 104-2410-H-001-054-MY2</t>
  </si>
  <si>
    <t>浙江 江蘇</t>
  </si>
  <si>
    <t>金華 南京(Nanjing)</t>
  </si>
  <si>
    <t>105/11/13-105/11/14</t>
  </si>
  <si>
    <t>105/05/24-105/05/31</t>
  </si>
  <si>
    <t>北京市 上海市</t>
  </si>
  <si>
    <t>北京(Beijing) 上海(Shanghai)</t>
  </si>
  <si>
    <t>105/12/02-105/12/05</t>
  </si>
  <si>
    <t>105/07/16-105/07/20</t>
  </si>
  <si>
    <t>105/07/30-105/08/05</t>
  </si>
  <si>
    <t>105/08/07-105/08/13</t>
  </si>
  <si>
    <t>105/05/06-105/05/17</t>
  </si>
  <si>
    <t>105/08/21-105/08/23</t>
  </si>
  <si>
    <t>105/07/28-105/07/30</t>
  </si>
  <si>
    <t>105/04/26-105/04/28</t>
  </si>
  <si>
    <t>105/10/15-105/10/19</t>
  </si>
  <si>
    <t>前往中國玉林參加第16屆國際傳統藥物學大會</t>
  </si>
  <si>
    <t>105/05/14-105/05/21</t>
  </si>
  <si>
    <t>廣西</t>
  </si>
  <si>
    <t>玉林</t>
  </si>
  <si>
    <t>105/09/18-105/09/24</t>
  </si>
  <si>
    <t>參加會議並口頭發表論文</t>
  </si>
  <si>
    <t>江蘇 北京市</t>
  </si>
  <si>
    <t>無錫 北京(Beijing)</t>
  </si>
  <si>
    <t>第八届亞洲醣科學與醣技術會議,此會議集中了亞洲優秀之醣科學研究者,這次會議擔任演講者,向各國充分介紹實驗室研究之方向進行學術交流。</t>
  </si>
  <si>
    <t>105/10/13-105/10/18</t>
  </si>
  <si>
    <t>無錫市 上海市</t>
  </si>
  <si>
    <t>江蘇省 上海(Shanghai)</t>
  </si>
  <si>
    <t>於105年5月31日至6月4日前往哈爾濱參訪Kadoorie Biobank, 討論合作事宜及經驗交流。</t>
  </si>
  <si>
    <t>105/05/31-105/06/04</t>
  </si>
  <si>
    <t>參加【亞大精準基因體學高峰會議】，透過世界各地基因體學的經驗來看目前亞洲基因定序情況，分享定序數據處理經驗及建立資料共享的機制。</t>
  </si>
  <si>
    <t>105/09/26-105/09/28</t>
  </si>
  <si>
    <t>參加2016生物化學與分子生物學學術大會，並於會中擔任兩岸交流討論會主持人。赴大陸杭州出席此會議，由成大藥理學科暨研究所王憶卿講座教授組團，經科技部科部科字第1050057043號函補助。</t>
  </si>
  <si>
    <t>105/10/20-105/10/23</t>
  </si>
  <si>
    <t>10/1-10/7受邀至上海交通大學移地研究 10/8-10/31受邀至東北大學秦皇島分校移地研究 11/1-11/7受邀至南開大學移地研究 11/8-11/14受邀至清華大學移地研究 11/15-11/19受邀至上海交通大學移地研究</t>
  </si>
  <si>
    <t>105/10/01-105/11/21</t>
  </si>
  <si>
    <t>上海市 秦皇島市 天津市 北京市</t>
  </si>
  <si>
    <t>上海(Shanghai) 河北省 天津(Tianjin) 北京(Beijing)</t>
  </si>
  <si>
    <t>受邀至江蘇師範大學移地研究</t>
  </si>
  <si>
    <t>1/10-1/17受邀至中國科學院移地研究</t>
  </si>
  <si>
    <t>105/01/10-105/01/23</t>
  </si>
  <si>
    <t>三亞(Sanya) 北京(Beijing)</t>
  </si>
  <si>
    <t>1/10-1/17受邀訪問中國科學院</t>
  </si>
  <si>
    <t>海南 北京市</t>
  </si>
  <si>
    <t>3/1-3/7 受邀至上海交通大學移地研究 3/8-3/16 受邀至浙江理工大學移地研究 3/17-4/20 受邀至浙江師範大學移地研究</t>
  </si>
  <si>
    <t>105/03/01-105/04/20</t>
  </si>
  <si>
    <t>上海(Shanghai) 杭州(Hangzhou) 金華市</t>
  </si>
  <si>
    <t>前往中國西昌「錦屏地下實驗室」及成都四川大學從事暗物質研究工作</t>
  </si>
  <si>
    <t>105/02/26-105/03/06</t>
  </si>
  <si>
    <t>成都(Chengdu) 西昌</t>
  </si>
  <si>
    <t>以台南地區都市化發展之環境衝擊分析為例，建立空間資訊與大氣數值模擬分析整合平台_MOST104-2119-M-001-020</t>
  </si>
  <si>
    <t>本次會議將與各國代表參與討論APAN學術網路未來的發展與相關合作計畫，將就目前我國所推動全球網格之網路建置現況及ASGCNet未來的整體發展狀況，與Future Internet Testbed Workshop場次其他歐亞國家學術網路交換網路互連機制。</t>
  </si>
  <si>
    <t>105/06/05-105/06/18</t>
  </si>
  <si>
    <t>環形加速器電子對撞(CEPC)實驗物理測量及探測器設計開發_MOST105-2112-M-001-001</t>
  </si>
  <si>
    <t>參與環形加速器電子對撞(CEPC)會議</t>
  </si>
  <si>
    <t>105/09/01-105/09/04</t>
  </si>
  <si>
    <t>抗癌藥物DNA複合物和複雜 統研究_MOST104-2112-M-001-002</t>
  </si>
  <si>
    <t>105/12/01-105/12/06</t>
  </si>
  <si>
    <t>105/10/12-105/10/25</t>
  </si>
  <si>
    <t>105/11/18-105/12/05</t>
  </si>
  <si>
    <t>於2016-08-11至2016-08-16赴青海師範大學計算機學院進行移地研究</t>
  </si>
  <si>
    <t>青海 福建</t>
  </si>
  <si>
    <t>本人參與網格中心於歐盟計畫架構下所統籌之亞太區域 e-Science 研究合作，此次受邀於 APAN 召開 DMCC 計畫會議中，發表與菲律賓合作之海燕颱風以及與馬來西亞合作之水災等最新的數值模擬結果，並藉此增進與其他亞洲國家於區域防災與環境變遷之合作。</t>
  </si>
  <si>
    <t>台蒙(MN)國合計畫-多頻譜技術於文化遺產創新應用_MOST104-2923-H-001-002-MY3</t>
  </si>
  <si>
    <t>赴西藏拉薩進行學術交流合作研究有關西藏高原張性裂谷成因</t>
  </si>
  <si>
    <t>拉薩(Lhasa)</t>
  </si>
  <si>
    <t>赴廣州廣東省生態環境技術研究所參訪並討論未來合作計畫</t>
  </si>
  <si>
    <t>105/08/14-105/08/16</t>
  </si>
  <si>
    <t>105/07/31-105/08/19</t>
  </si>
  <si>
    <t>至海南省地震局交流訪問，開展陸海地震監測和工程地震研究學術交流</t>
  </si>
  <si>
    <t>海口(Haikou) 三亞(Sanya)</t>
  </si>
  <si>
    <t>赴大陸四川成都、都江堰、黃龍等地進行考察並至中國地質大學（武漢）地球物理與空間資訊學院訪問</t>
  </si>
  <si>
    <t>105/09/13-105/09/21</t>
  </si>
  <si>
    <t>四川 湖北</t>
  </si>
  <si>
    <t>成都(Chengdu) 武漢(Wu Han)</t>
  </si>
  <si>
    <t>赴大陸安徽省合肥市中國科技大學地球和空間科學學院學術交流並商討開展合作研究及赴北京中國地震局地震預測研究所開展兩岸合作研究計畫</t>
  </si>
  <si>
    <t>105/11/04-105/11/08</t>
  </si>
  <si>
    <t>安徽省 北京市</t>
  </si>
  <si>
    <t>台灣西南部及外海的地表變形之彈塑性模型_MOST105-2116-M-001-006</t>
  </si>
  <si>
    <t>赴大陸安徽省合肥市中國科技大學地球和空間科學學院學術交流並商討開展合作研究</t>
  </si>
  <si>
    <t>安徽省</t>
  </si>
  <si>
    <t>交流研究成果並學習gCAP3D震源機制波形反演方法</t>
  </si>
  <si>
    <t>105/03/13-105/03/16</t>
  </si>
  <si>
    <t>至福建省廈門福建地震局討論閩台地震科技研究進展與合作</t>
  </si>
  <si>
    <t>105/01/13-105/01/15</t>
  </si>
  <si>
    <t>赴大陸開展兩岸合作計畫研究</t>
  </si>
  <si>
    <t>兩岸合作研究計畫學術交流活動『地震、豪雨颱風、生物多樣性領域』延續資助項目聯合期中報告審查暨研討會議</t>
  </si>
  <si>
    <t>代1282-美國李氏傳統基金會</t>
  </si>
  <si>
    <t>受邀訪問北京清華大學－交叉信息研究院</t>
  </si>
  <si>
    <t>105/12/19-105/12/24</t>
  </si>
  <si>
    <t>赴上海財經大學(ITCS, SUFE）進行Theoretical Computer Science相關研究。</t>
  </si>
  <si>
    <t>105/07/01-105/07/20</t>
  </si>
  <si>
    <t>赴上海財經大學－理論計算機科學研究中心研究並參加會議。</t>
  </si>
  <si>
    <t>105/06/17-105/07/02</t>
  </si>
  <si>
    <t>進行"淡水魚類酸鹼平衡及離子調節機制多樣性研究" 兩岸合作研究, 赴上海海洋大學生物技術系訪問合作研究採樣及實驗</t>
  </si>
  <si>
    <t>105/11/27-105/12/02</t>
  </si>
  <si>
    <t>因執行科技部計畫「秦漢帝國的文書行政制度」需要，前往香港大學馮平山圖書館查閱「居延漢簡整理文件」。</t>
  </si>
  <si>
    <t>因執行科技部計畫「書札史料與清代學術研究」需要，赴廣東省立中山圖書館、福建省圖書館等處蒐集計畫相關研究資料。</t>
  </si>
  <si>
    <t>應邀出席「明清中國的物質控制與國家運作」學術研討會及「第八屆民間歷史文獻論壇」，並發表論文；另因執行科技部計畫需要，於兩會期間順赴廣州中山大學及暨南大學蒐集研究資料。</t>
  </si>
  <si>
    <t>105/11/20-105/11/28</t>
  </si>
  <si>
    <t>福建 廣東</t>
  </si>
  <si>
    <t>廈門(Xiamen) 廣州(Guangzhou) 佛山市</t>
  </si>
  <si>
    <t>「地方傳統」與「朝代傳統」--從兩種論述模式探討元代士人的認同、網絡與社群_MOST 104-2410-H-001-039-MY3</t>
  </si>
  <si>
    <t>因執行科技部計畫「『地方傳統』與『朝代傳統』──從兩種論述模式探討元代士人的認同、網絡與社群」需要，前往上海博物館、龍美術館及上海圖書館等處蒐集研究資料。</t>
  </si>
  <si>
    <t>105/11/10-105/11/14</t>
  </si>
  <si>
    <t>毒藥貓理論：人類集體恐懼、猜疑與暴力的社會根源_MOST 105-2420-H-001-007-MY4</t>
  </si>
  <si>
    <t>雲南 北京市</t>
  </si>
  <si>
    <t>昆明(kunming) 北京(Beijing)</t>
  </si>
  <si>
    <t>因執行科技部計畫「明清東南中國的山民與海民：文化傳播與社群建構的歷史過程」需要，前往福建省福州市所轄之長樂縣、連江縣、羅源縣等處進行田野調查，並赴該市福建省立圖書館蒐集研究資料。</t>
  </si>
  <si>
    <t>105/09/25-105/10/12</t>
  </si>
  <si>
    <t>因執行科技部計畫「毒藥貓理論：人類集體恐懼、猜疑與暴力的社會根源」需要，前往寧夏銀川、新疆烏魯木齊、石河子等地蒐集資料。</t>
  </si>
  <si>
    <t>105/09/22-105/10/03</t>
  </si>
  <si>
    <t>新疆 寧夏</t>
  </si>
  <si>
    <t>烏魯木齊(Urumuqi) 銀川 石河子</t>
  </si>
  <si>
    <t>王權的歷史論：帝制中國 I先代帝王祭祀」地點之考察_NSC 102-2410-H-001-033-MY3</t>
  </si>
  <si>
    <t>「文武交際：明代文士武人的勢力消長、交往關係與知識流通」(II)_MOST 104-2410-H-001-041-</t>
  </si>
  <si>
    <t>因執行科技部計畫「文武交際：明代文士武人的勢力消長、交往關係與知識流通(II)」需要，前往上海圖書館蒐集資料。</t>
  </si>
  <si>
    <t>105/10/20-105/10/24</t>
  </si>
  <si>
    <t>因執行科技部計畫「秦漢山川信仰研究」需要，前往西安碑林博物館、陝西歷史博物館等處蒐集資料。</t>
  </si>
  <si>
    <t>因執行科技部計畫「王權的歷史論：帝制中國 『先代帝王祭祀』地點之考察」需要，前往北京歷代帝王廟、明十三陵之定陵等處參訪，並至中國第一歷史檔案館、中國國家圖書館蒐集研究資料。</t>
  </si>
  <si>
    <t>因執行科技部計畫「新見甲骨文字研究與增補」需要，前往河南鄭州河南博物院，考察該院所收藏之甲骨。</t>
  </si>
  <si>
    <t>河南</t>
  </si>
  <si>
    <t>鄭州(Zhengzhou)</t>
  </si>
  <si>
    <t>因執行科技部計畫「新見甲骨文字研究與增補」需要，前往北京中國社會科學院考古研究所，蒐集研究資料並目驗甲骨實物。</t>
  </si>
  <si>
    <t>105/06/02-105/06/07</t>
  </si>
  <si>
    <t>為執行科技部補助｢近代中國的檳榔文化：以地方志材料為主的探討(1200-1950AD)｣計畫，專任助理林盈君小姐前往廣州查找所需研究資料。</t>
  </si>
  <si>
    <t>105/06/13-105/06/17</t>
  </si>
  <si>
    <t>明代的軍戶_NSC 102-2410-H-001-026-MY3</t>
  </si>
  <si>
    <t>因執行科技部補助之「明代的軍戶」研究計畫需要，前往上海圖書館蒐集資料。</t>
  </si>
  <si>
    <t>105/06/23-105/07/08</t>
  </si>
  <si>
    <t>《鄉約鐸書》與清初群眾教化_NSC 102-2410-H-001-035-MY2</t>
  </si>
  <si>
    <t>因執行科技部計畫「《鄉約鐸書》與清初群眾教化」需要，前往江西省南昌圖書館與南昌師範大學圖書館蒐集研究資料。</t>
  </si>
  <si>
    <t>江西省</t>
  </si>
  <si>
    <t>南昌</t>
  </si>
  <si>
    <t>因執行科技部計畫「《鄉約鐸書》與清初群眾教化」需要，前往上海圖書館、上海社會科學院圖書館蒐檢及抄印史料。</t>
  </si>
  <si>
    <t>105/05/21-105/06/01</t>
  </si>
  <si>
    <t>因執行科技部計畫「遼金元石刻與歷史研究（III）」需要，前往北京中國國家圖書館、五塔寺石刻藝術博物館蒐集研究資料。</t>
  </si>
  <si>
    <t>麻風醫師的生命史研究計畫收集資料</t>
  </si>
  <si>
    <t>105/01/04-105/01/08</t>
  </si>
  <si>
    <t>四月份是澳門潑水節慶典盛事，本人將前往澳門進行田野工作，內容包含活動前置作業視察、相關人員訪談、慶典活動紀錄等。</t>
  </si>
  <si>
    <t>赴南京大學演講，並在南京和上海訪問麻風醫師</t>
  </si>
  <si>
    <t>南京(Nanjing) 上海(Shanghai)</t>
  </si>
  <si>
    <t>社會經濟與公共性的想像:香港的個案研究_MOST105-2410-H-001-104-MY2</t>
  </si>
  <si>
    <t>觀察香港9/4之立法會選舉田野工作</t>
  </si>
  <si>
    <t>105/08/26-105/09/07</t>
  </si>
  <si>
    <t>為執行科技部人文行遠專書寫作計畫《雙湖記：兩個雲南高原湖泊的生態改變與發展》，進行田野調查。</t>
  </si>
  <si>
    <t>105/08/15-105/08/26</t>
  </si>
  <si>
    <t>中甸</t>
  </si>
  <si>
    <t>為執行科技部人文行遠專書寫作計畫《雙湖記：雲南兩個高原湖泊的生態改變與發展》，進行田野調查。</t>
  </si>
  <si>
    <t>105/07/31-105/08/11</t>
  </si>
  <si>
    <t>貴州 雲南</t>
  </si>
  <si>
    <t>貴陽(Guiyang) 麗江</t>
  </si>
  <si>
    <t>研究在中國從事麻風服務工作的民間人士</t>
  </si>
  <si>
    <t>105/08/02-105/08/08</t>
  </si>
  <si>
    <t>研究當代中國的麻風病防疫</t>
  </si>
  <si>
    <t>本人即前往澳門進行田野調查暨深度訪談。</t>
  </si>
  <si>
    <t>105/09/17-105/09/28</t>
  </si>
  <si>
    <t>香港 澳門</t>
  </si>
  <si>
    <t>香港(Hong Kong) 澳門(Macau)</t>
  </si>
  <si>
    <t>第十九屆國際麻風會議在北京召開，眾多的中國麻風病防疫的官員及醫療人員都會出席，這是筆者的麻風病研究計畫重要的田野場合</t>
  </si>
  <si>
    <t>105/09/17-105/09/22</t>
  </si>
  <si>
    <t>本次將發表阿美族治病儀式口語文本研究成果，並到瀘沽湖沿岸地區參訪與阿美族一樣是「母系社會」的摩梭人的田野研究。</t>
  </si>
  <si>
    <t>環太平洋區域的新創意網絡 創意公仔與在地漫畫的市場或次文化田野訪問</t>
  </si>
  <si>
    <t>105/12/15-105/12/22</t>
  </si>
  <si>
    <t>105/12/17-106/01/03</t>
  </si>
  <si>
    <t>邁向和解之路：中日戰爭的再省思_RG002-D-13</t>
  </si>
  <si>
    <t>濟南(Jinan) 青島(Quingdao)</t>
  </si>
  <si>
    <t>105/04/11-105/04/21</t>
  </si>
  <si>
    <t>105/05/24-105/06/05</t>
  </si>
  <si>
    <t>貪汙、外部性、無效率_MOST 105-2410-H-001-011-</t>
  </si>
  <si>
    <t>變動環境下的智慧學習法則_MOST 105-2410-H-001-007-</t>
  </si>
  <si>
    <t>105/05/13-105/05/19</t>
  </si>
  <si>
    <t>105/03/14-105/04/01</t>
  </si>
  <si>
    <t>105/08/15-105/08/18</t>
  </si>
  <si>
    <t>105/04/16-105/04/28</t>
  </si>
  <si>
    <t>桂林(Guilin) 玉林市 防城港市 崇左市 百色市 河池市</t>
  </si>
  <si>
    <t>女體與國體的現代性建構(IV):屠格涅夫、柯倫泰與茅盾作品之比較分析_NSC102-2410-H-001-097-MY2</t>
  </si>
  <si>
    <t>自香港返台參加國際學術會議,發表論文。 附記：申請人目前在香港中文大學講學及研究。</t>
  </si>
  <si>
    <t>105/03/11-105/03/15</t>
  </si>
  <si>
    <t>自香港返台蒐集資料與撰寫論文。 申請人目前在香港中文大學講學及研究。</t>
  </si>
  <si>
    <t>105/02/05-105/02/16</t>
  </si>
  <si>
    <t>自香港返台蒐集資料,並赴美國加州大學戴維斯分校（UC Davis)參加學術會議,發表論文。 附記：申請人目前在香港中文大學講學及研究。</t>
  </si>
  <si>
    <t>105/01/22-105/02/02</t>
  </si>
  <si>
    <t>加州戴維斯（Davis) 香港(Hong Kong)</t>
  </si>
  <si>
    <t>自香港返台蒐集整理英、俄、日文等資料。</t>
  </si>
  <si>
    <t>105/01/15-105/01/19</t>
  </si>
  <si>
    <t>臺俄(RU)國合計畫－現當代華文與俄文詩歌語言中的平行研究_MOST 105-2923-H-001-001-MY3</t>
  </si>
  <si>
    <t>赴大陸北京蒐集資料</t>
  </si>
  <si>
    <t>105/12/15-105/12/18</t>
  </si>
  <si>
    <t>赴大陸武漢蒐集資料,並演講交流。</t>
  </si>
  <si>
    <t>赴大陸河南鄭州蒐集資料</t>
  </si>
  <si>
    <t>105/07/28-105/08/04</t>
  </si>
  <si>
    <t>兩岸當代詩的後現代主體：以拉岡理論為研究框架_MOST 105-2410-H-001-098-</t>
  </si>
  <si>
    <t>105/07/28-105/08/20</t>
  </si>
  <si>
    <t>海南 上海市</t>
  </si>
  <si>
    <t>海口(Haikou) 上海(Shanghai)</t>
  </si>
  <si>
    <t>自香港返台蒐集資料,撰寫並繳交會議論文。 附記：申請人目前在香港中文大學講學及研究。</t>
  </si>
  <si>
    <t>主持人目前在香港中文大學講學研究,本次出國行程係香港-杭州往返。赴大陸杭州蒐集資料。</t>
  </si>
  <si>
    <t>浸會大學補助張愛玲研討會及文物展覽(代碼:105003)</t>
  </si>
  <si>
    <t>赴香港浸會大學洽談合辦學術會議結案事宜,並歸還張愛玲手稿。</t>
  </si>
  <si>
    <t>赴中國大陸南京中國科學院紫金山天文台參與JCMT望遠鏡計畫相關學術研究，並報告本所在臺研究計畫發展現況。</t>
  </si>
  <si>
    <t>105/10/19-105/10/22</t>
  </si>
  <si>
    <t>赴大陸中國科學院上海天文台(SHAO)參加SDSS-IV/MaNGA Collaboration Meeting 、進行學術研討，以利發展在臺研究計畫進度。</t>
  </si>
  <si>
    <t>105/11/13-105/11/20</t>
  </si>
  <si>
    <t>預測大型海王星外天體的掩星事件_MOST 104-2112-M-001-020-</t>
  </si>
  <si>
    <t>赴中國大陸北京中國科學院國家天文台(NAOC)及興隆觀測基地進行計畫相關觀測研究事宜。</t>
  </si>
  <si>
    <t>105/06/09-105/06/15</t>
  </si>
  <si>
    <t>赴中國大陸中國科學院上海天文台(SHAO)進行(恆星盤、噴流、分子流之成功ALMA模擬)計畫相關學術研究。</t>
  </si>
  <si>
    <t>105/10/09-105/10/10</t>
  </si>
  <si>
    <t>105/11/12-105/11/19</t>
  </si>
  <si>
    <t>赴中國大陸南京中國科學院紫金山天文台進行計畫(以ALMA第一次解析原恆星噴流的旋轉)相關學術研討。</t>
  </si>
  <si>
    <t>105/02/01-105/02/04</t>
  </si>
  <si>
    <t>赴中國大陸中國科學院上海天文台(SHAO)參與JCMT望遠鏡計畫之研究討論。</t>
  </si>
  <si>
    <t>105/10/16-105/10/19</t>
  </si>
  <si>
    <t>赴中國大陸烏魯木齊中國科學院新疆天文台進行中美掩星計畫(TAOS)學術研究，並討論相關未來發展合作方向。</t>
  </si>
  <si>
    <t>新疆</t>
  </si>
  <si>
    <t>烏魯木齊(Urumuqi)</t>
  </si>
  <si>
    <t>赴中國大陸香港大學(The University of Hong Kong)進行星系團計畫相關學術研究。</t>
  </si>
  <si>
    <t>105/02/16-105/02/20</t>
  </si>
  <si>
    <t>受邀赴中國大陸北京國際空間科學研究所-北京出席Astronomical Distance Determination in the Space Age研討會，進行學術演講，並參與計畫相關學術研究。</t>
  </si>
  <si>
    <t>赴中國大陸香港大學(The University of Hong Kong)進行星系團計畫相關學術研討。</t>
  </si>
  <si>
    <t>大武山兩側、恆春半島之人群、經濟活動與社會秩序(1600-1900)－十六至十九世紀地圖文獻中有關臺灣南路的描繪及其轉變_MOST104-2410-H-001-032</t>
  </si>
  <si>
    <t>105/04/23-105/04/26</t>
  </si>
  <si>
    <t>105/04/20-105/04/30</t>
  </si>
  <si>
    <t>105/09/20-105/09/22</t>
  </si>
  <si>
    <t>東莞(Dongguan)</t>
  </si>
  <si>
    <t>當代中國社會集體抗議與國家治理_MOST 104-2410-H-001-079</t>
  </si>
  <si>
    <t>105/06/30-105/07/10</t>
  </si>
  <si>
    <t>香港 浙江 江蘇 上海市</t>
  </si>
  <si>
    <t>香港(Hong Kong) 杭州(Hangzhou) 南京(Nanjing) 上海(Shanghai)</t>
  </si>
  <si>
    <t>105/07/20-105/08/21</t>
  </si>
  <si>
    <t>105/10/31-105/11/23</t>
  </si>
  <si>
    <t>105/01/11-105/01/18</t>
  </si>
  <si>
    <t>105/04/27-105/05/18</t>
  </si>
  <si>
    <t>105/05/03-105/05/08</t>
  </si>
  <si>
    <t>105/09/24-105/09/25</t>
  </si>
  <si>
    <t>105/10/17-105/10/21</t>
  </si>
  <si>
    <t>Viral, Host and Environmental Determinants of Influenza Virus Transmission and Pathogenesis_28A-981130-2Cc</t>
  </si>
  <si>
    <t>105/05/10-105/05/21</t>
  </si>
  <si>
    <t>北京市 江蘇 上海市</t>
  </si>
  <si>
    <t>北京(Beijing) 南京(Nanjing) 上海(Shanghai)</t>
  </si>
  <si>
    <t>105/04/28-105/05/01</t>
  </si>
  <si>
    <t>105/08/30-105/09/28</t>
  </si>
  <si>
    <t>105/09/20-105/09/27</t>
  </si>
  <si>
    <t>貝氏方法應用於Christofides’s (2003)類型之隨機作答模型研究_104-2118-M-001-005-</t>
  </si>
  <si>
    <t>105/03/01-105/03/05</t>
  </si>
  <si>
    <t>105/10/03-105/10/08</t>
  </si>
  <si>
    <t>資訊服務處</t>
  </si>
  <si>
    <t>資訊服務處小計</t>
  </si>
  <si>
    <t>科技部補助前往英國愛丁堡皇家學院研究訪問 -- University of Edinburgh (MoST RSE bilateral exchange program)(6/2-6/11)</t>
  </si>
  <si>
    <t>科技部補助國內專家學者出席國際會議_105-2914-I-001-021-A1</t>
  </si>
  <si>
    <t>科技部專案補助赴澳大利亞凱恩斯參加世界兒童神經母細胞瘤尖端研究會議</t>
  </si>
  <si>
    <t>00032976
陸彼言為本計畫延攬博士後研究學者</t>
  </si>
  <si>
    <r>
      <t xml:space="preserve">00029060
</t>
    </r>
    <r>
      <rPr>
        <sz val="7"/>
        <color indexed="8"/>
        <rFont val="細明體"/>
        <family val="3"/>
      </rPr>
      <t>林哲毅博後為本計畫未支薪之協同研究人員</t>
    </r>
    <r>
      <rPr>
        <sz val="7"/>
        <color indexed="8"/>
        <rFont val="Calibri"/>
        <family val="2"/>
      </rPr>
      <t>(</t>
    </r>
    <r>
      <rPr>
        <sz val="7"/>
        <color indexed="8"/>
        <rFont val="細明體"/>
        <family val="3"/>
      </rPr>
      <t>詳相關附件之出國簽呈</t>
    </r>
    <r>
      <rPr>
        <sz val="7"/>
        <color indexed="8"/>
        <rFont val="Calibri"/>
        <family val="2"/>
      </rPr>
      <t>)</t>
    </r>
  </si>
  <si>
    <t>00031055
TPPAS-B3</t>
  </si>
  <si>
    <r>
      <t xml:space="preserve">00033376
</t>
    </r>
    <r>
      <rPr>
        <sz val="8"/>
        <color indexed="8"/>
        <rFont val="細明體"/>
        <family val="3"/>
      </rPr>
      <t>返國後接續參加其他會議及研究</t>
    </r>
    <r>
      <rPr>
        <sz val="8"/>
        <color indexed="8"/>
        <rFont val="Calibri"/>
        <family val="2"/>
      </rPr>
      <t>,</t>
    </r>
    <r>
      <rPr>
        <sz val="8"/>
        <color indexed="8"/>
        <rFont val="細明體"/>
        <family val="3"/>
      </rPr>
      <t>致報告遲繳</t>
    </r>
  </si>
  <si>
    <r>
      <t xml:space="preserve">00032292
</t>
    </r>
    <r>
      <rPr>
        <sz val="10"/>
        <color indexed="8"/>
        <rFont val="細明體"/>
        <family val="3"/>
      </rPr>
      <t>於計畫結案時一併繳交</t>
    </r>
  </si>
  <si>
    <r>
      <t xml:space="preserve">00027541
</t>
    </r>
    <r>
      <rPr>
        <sz val="10"/>
        <color indexed="8"/>
        <rFont val="細明體"/>
        <family val="3"/>
      </rPr>
      <t>於計畫結案時一併繳交</t>
    </r>
  </si>
  <si>
    <r>
      <t xml:space="preserve">00030632
</t>
    </r>
    <r>
      <rPr>
        <sz val="10"/>
        <color indexed="8"/>
        <rFont val="細明體"/>
        <family val="3"/>
      </rPr>
      <t>於計畫結案時一併繳交</t>
    </r>
  </si>
  <si>
    <r>
      <t xml:space="preserve">00030811
</t>
    </r>
    <r>
      <rPr>
        <sz val="10"/>
        <color indexed="8"/>
        <rFont val="細明體"/>
        <family val="3"/>
      </rPr>
      <t>於計畫結案時一併繳交</t>
    </r>
  </si>
  <si>
    <r>
      <t xml:space="preserve">00031408
</t>
    </r>
    <r>
      <rPr>
        <sz val="10"/>
        <color indexed="8"/>
        <rFont val="細明體"/>
        <family val="3"/>
      </rPr>
      <t>於計畫結案時一併繳交</t>
    </r>
  </si>
  <si>
    <r>
      <t xml:space="preserve">00032548
</t>
    </r>
    <r>
      <rPr>
        <sz val="10"/>
        <color indexed="8"/>
        <rFont val="細明體"/>
        <family val="3"/>
      </rPr>
      <t>於計畫結案時一併繳交</t>
    </r>
  </si>
  <si>
    <r>
      <t xml:space="preserve">00031327
</t>
    </r>
    <r>
      <rPr>
        <sz val="10"/>
        <color indexed="8"/>
        <rFont val="細明體"/>
        <family val="3"/>
      </rPr>
      <t>於計畫結案時一併繳交</t>
    </r>
  </si>
  <si>
    <r>
      <t xml:space="preserve">00030536
</t>
    </r>
    <r>
      <rPr>
        <sz val="10"/>
        <color indexed="8"/>
        <rFont val="細明體"/>
        <family val="3"/>
      </rPr>
      <t>於計畫結案時一併繳交</t>
    </r>
  </si>
  <si>
    <r>
      <t xml:space="preserve">00031326
</t>
    </r>
    <r>
      <rPr>
        <sz val="10"/>
        <color indexed="8"/>
        <rFont val="細明體"/>
        <family val="3"/>
      </rPr>
      <t>於計畫結案時一併繳交</t>
    </r>
  </si>
  <si>
    <t>打造世界級蛋白質研究重鎮計畫</t>
  </si>
  <si>
    <t>00031857
TPPAS-A3</t>
  </si>
  <si>
    <r>
      <t xml:space="preserve">00031698
</t>
    </r>
    <r>
      <rPr>
        <sz val="8"/>
        <color indexed="8"/>
        <rFont val="細明體"/>
        <family val="3"/>
      </rPr>
      <t>多年期計畫尚未結案併期末報告一併繳交</t>
    </r>
  </si>
  <si>
    <r>
      <t>00031487
TPPAS-A2(</t>
    </r>
    <r>
      <rPr>
        <sz val="10"/>
        <color indexed="8"/>
        <rFont val="細明體"/>
        <family val="3"/>
      </rPr>
      <t>孟子青教授</t>
    </r>
    <r>
      <rPr>
        <sz val="10"/>
        <color indexed="8"/>
        <rFont val="Calibri"/>
        <family val="2"/>
      </rPr>
      <t>)</t>
    </r>
  </si>
  <si>
    <t>00032812
TPPAS-A3</t>
  </si>
  <si>
    <r>
      <t>科研環境領航計畫</t>
    </r>
    <r>
      <rPr>
        <sz val="9"/>
        <color indexed="8"/>
        <rFont val="Calibri"/>
        <family val="2"/>
      </rPr>
      <t>-</t>
    </r>
    <r>
      <rPr>
        <sz val="9"/>
        <color indexed="8"/>
        <rFont val="細明體"/>
        <family val="3"/>
      </rPr>
      <t>生物化學研究所</t>
    </r>
  </si>
  <si>
    <t>2016年度EMBO會議專注於細胞信號和癌症治療是繼細胞信號分子醫學。會議目標在於認知癌症，分享新的見解和討論這些見解如何提供的診斷工具和治療癌症的發展和改進的新戰略，並探討最近技術發展。會中邀請到各界領先研究科學家共同討論新發現與未來癌症研究方向。</t>
  </si>
  <si>
    <t>105/05/25-105/06/03</t>
  </si>
  <si>
    <t>Dubrovnik(杜布羅夫尼克)</t>
  </si>
  <si>
    <t>參加國際會議並發表成果海報。會議名稱: DNA Polymerases Meeting: from molecular function to human diseases。會議地點: France, Biarritz 成果海報標題: “Structural Mechanism for the Fidelity Modulation of DNA Polymerase λ”</t>
  </si>
  <si>
    <t>105/09/30-105/10/18</t>
  </si>
  <si>
    <t>比亞里茨(Biarritz)</t>
  </si>
  <si>
    <t>參與生物資訊及大數據處理相關之研討會並發表近期研究成果。</t>
  </si>
  <si>
    <t>105/10/26-105/11/03</t>
  </si>
  <si>
    <t>出席參加國際學術研討會議並發表研究成果海報</t>
  </si>
  <si>
    <t>105/07/16-105/07/25</t>
  </si>
  <si>
    <t>到法國拜訪推廣台灣法國學界合作 10/4-10/7-DNA Polymerase Meeting 10/8 移動日-法國到英國 10/9-10 到劍橋大學和Dr. Nietlispach 討論合作，以及和台灣留學生用餐介紹TPP計劃 10/11 移動日-英國到美國 10/13-14 到UCSD與史允中教授討論合作。</t>
  </si>
  <si>
    <t>105/09/28-105/10/18</t>
  </si>
  <si>
    <t>Biarirtz 斯特拉斯堡(Strasbourg) 劍橋(Cambridge) 聖地牙哥(San Diego,California)</t>
  </si>
  <si>
    <t>出席亞洲及大洋洲生化暨分子生物學家聯盟執行委員會議與第25屆國際研討會並致歡迎詞</t>
  </si>
  <si>
    <t>105/12/03-105/12/09</t>
  </si>
  <si>
    <t>馬尼拉(Manila)</t>
  </si>
  <si>
    <t>前往美國柏克萊先進光源同步輻射中心參與全球光束線委員討論會議，探討年度使用狀況與未來發展規劃</t>
  </si>
  <si>
    <t>105/11/15-105/11/20</t>
  </si>
  <si>
    <t>柏克萊(Brkeley, California)</t>
  </si>
  <si>
    <r>
      <t xml:space="preserve">00033375
</t>
    </r>
    <r>
      <rPr>
        <sz val="8"/>
        <color indexed="8"/>
        <rFont val="細明體"/>
        <family val="3"/>
      </rPr>
      <t>返國後接續參加其他會議及研究</t>
    </r>
    <r>
      <rPr>
        <sz val="8"/>
        <color indexed="8"/>
        <rFont val="Calibri"/>
        <family val="2"/>
      </rPr>
      <t>,</t>
    </r>
    <r>
      <rPr>
        <sz val="8"/>
        <color indexed="8"/>
        <rFont val="細明體"/>
        <family val="3"/>
      </rPr>
      <t>致報告遲繳</t>
    </r>
  </si>
  <si>
    <t>受邀到日本Osaka University 給演講</t>
  </si>
  <si>
    <t>到Rockefeller University 演講，到UT Southwestern Medical Center 演講, 到UCSD宣傳台灣蛋白質計劃，以及與台灣留學生討論工作機會</t>
  </si>
  <si>
    <r>
      <t xml:space="preserve">00028543
</t>
    </r>
    <r>
      <rPr>
        <sz val="10"/>
        <color indexed="8"/>
        <rFont val="細明體"/>
        <family val="3"/>
      </rPr>
      <t>不申請生活費</t>
    </r>
  </si>
  <si>
    <t>蛋白質結構與訊息傳遞複合蛋白質研討</t>
  </si>
  <si>
    <r>
      <t xml:space="preserve">00029672
</t>
    </r>
    <r>
      <rPr>
        <sz val="8"/>
        <color indexed="8"/>
        <rFont val="細明體"/>
        <family val="3"/>
      </rPr>
      <t>返國後接續參加其他會議及研究</t>
    </r>
    <r>
      <rPr>
        <sz val="8"/>
        <color indexed="8"/>
        <rFont val="Calibri"/>
        <family val="2"/>
      </rPr>
      <t>,</t>
    </r>
    <r>
      <rPr>
        <sz val="8"/>
        <color indexed="8"/>
        <rFont val="細明體"/>
        <family val="3"/>
      </rPr>
      <t>致報告遲繳</t>
    </r>
  </si>
  <si>
    <r>
      <t xml:space="preserve">00031698
</t>
    </r>
    <r>
      <rPr>
        <sz val="10"/>
        <color indexed="8"/>
        <rFont val="細明體"/>
        <family val="3"/>
      </rPr>
      <t>於計畫結案時一併繳交</t>
    </r>
  </si>
  <si>
    <r>
      <t xml:space="preserve">00027176
</t>
    </r>
    <r>
      <rPr>
        <sz val="8"/>
        <color indexed="8"/>
        <rFont val="細明體"/>
        <family val="3"/>
      </rPr>
      <t>生活費補助</t>
    </r>
    <r>
      <rPr>
        <sz val="8"/>
        <color indexed="8"/>
        <rFont val="Calibri"/>
        <family val="2"/>
      </rPr>
      <t>40000</t>
    </r>
    <r>
      <rPr>
        <sz val="8"/>
        <color indexed="8"/>
        <rFont val="細明體"/>
        <family val="3"/>
      </rPr>
      <t>元</t>
    </r>
    <r>
      <rPr>
        <sz val="8"/>
        <color indexed="8"/>
        <rFont val="Calibri"/>
        <family val="2"/>
      </rPr>
      <t>,</t>
    </r>
    <r>
      <rPr>
        <sz val="8"/>
        <color indexed="8"/>
        <rFont val="細明體"/>
        <family val="3"/>
      </rPr>
      <t>餘自理</t>
    </r>
    <r>
      <rPr>
        <sz val="8"/>
        <color indexed="8"/>
        <rFont val="Calibri"/>
        <family val="2"/>
      </rPr>
      <t xml:space="preserve">. </t>
    </r>
    <r>
      <rPr>
        <sz val="8"/>
        <color indexed="8"/>
        <rFont val="細明體"/>
        <family val="3"/>
      </rPr>
      <t>於計畫結案時一併繳交</t>
    </r>
  </si>
  <si>
    <r>
      <t xml:space="preserve">00028187
</t>
    </r>
    <r>
      <rPr>
        <sz val="10"/>
        <color indexed="8"/>
        <rFont val="細明體"/>
        <family val="3"/>
      </rPr>
      <t>不支領生活費</t>
    </r>
  </si>
  <si>
    <t>00032482
TPP1041</t>
  </si>
  <si>
    <t>00032497
TPP1041</t>
  </si>
  <si>
    <t>00033077
TPP1041</t>
  </si>
  <si>
    <t>00033020
TPP1041</t>
  </si>
  <si>
    <r>
      <t xml:space="preserve">00029894
</t>
    </r>
    <r>
      <rPr>
        <sz val="8"/>
        <color indexed="8"/>
        <rFont val="細明體"/>
        <family val="3"/>
      </rPr>
      <t>返國後接續參加其他會議及研究</t>
    </r>
    <r>
      <rPr>
        <sz val="8"/>
        <color indexed="8"/>
        <rFont val="Calibri"/>
        <family val="2"/>
      </rPr>
      <t>,</t>
    </r>
    <r>
      <rPr>
        <sz val="8"/>
        <color indexed="8"/>
        <rFont val="細明體"/>
        <family val="3"/>
      </rPr>
      <t>致報告遲繳</t>
    </r>
  </si>
  <si>
    <r>
      <t xml:space="preserve">00033377
</t>
    </r>
    <r>
      <rPr>
        <sz val="8"/>
        <color indexed="8"/>
        <rFont val="細明體"/>
        <family val="3"/>
      </rPr>
      <t>返國後接續參加其他會議及研究</t>
    </r>
    <r>
      <rPr>
        <sz val="8"/>
        <color indexed="8"/>
        <rFont val="Calibri"/>
        <family val="2"/>
      </rPr>
      <t>,</t>
    </r>
    <r>
      <rPr>
        <sz val="8"/>
        <color indexed="8"/>
        <rFont val="細明體"/>
        <family val="3"/>
      </rPr>
      <t>致報告遲繳</t>
    </r>
  </si>
  <si>
    <t>科技部補助前往英國愛丁堡皇家學院研究訪問_105-2911-I-001-507</t>
  </si>
  <si>
    <t>以重組酵母菌進行藻類產油之研究_MOST103-2311-B-001-029-MY3(植輝)</t>
  </si>
  <si>
    <t>參加日本農藝化學學會2016年度會議</t>
  </si>
  <si>
    <t>基因轉殖對稻米基因體DNA甲基化與基因表現的影響_MOST103-2313-B-001-003-MY3(植仰)</t>
  </si>
  <si>
    <t>參加第三屆植物基因體會議，張貼海報。海報題目為：Dynamics of the transcriptome &amp; methylome of rice during regeneration。</t>
  </si>
  <si>
    <t>受邀參加第三屆植物基因體會議，發表本研究室研究。發表題目為：The investigation of genome wide DNA methylation</t>
  </si>
  <si>
    <t>參加第57屆日本植物生理學會年會</t>
  </si>
  <si>
    <t>磷酸膽鹼之生合成對於協調花序分支之研究_NSC102-2311-B-001-017-MY3(植輝)</t>
  </si>
  <si>
    <t>阿拉伯芥長醇生合成與蛋白醣基化及逆境反應之關聯性研究(植江)_MOST 104-2311-B-001-032-MY3</t>
  </si>
  <si>
    <t>參加2016 Annual Conference of the Japan Society for Bioscience, Biotechnology and Agrochemistry，以及3/26之研討會前會議。</t>
  </si>
  <si>
    <t>植物可調節性代謝和逆境耐受性之分子機轉_NSC102-2628-B-001-003-MY3植韋)</t>
  </si>
  <si>
    <t>赴法國、瑞士出席學術研究與研討會；5/26-5/27：於法國巴黎第六大學進行學術研講；5/29-6/3：於瑞士Les Diablerets出席高登研究會議</t>
  </si>
  <si>
    <t>非維管束植物中光敏素相關之基因調控_NSC102-2628-B-001-004-MY3(植涂)</t>
  </si>
  <si>
    <t>受邀至美國聖地牙哥參加國際植物及動物基因體研討會並發表演說</t>
  </si>
  <si>
    <t>植物逆境耐受性所需的去磷酸脢訊息傳遞機制_MOST103-2314-B-001-003-MY4(植韋)</t>
  </si>
  <si>
    <t>赴韓國參加阿拉伯芥研究國際會議</t>
  </si>
  <si>
    <t>剖析植物新穎的非還原鐵吸收系統(植虎)_MOST 104-2311-B-001-039-MY3</t>
  </si>
  <si>
    <t>出國參加2016年International Symposium on Iron Nutrition and Interaction in Plants研討會</t>
  </si>
  <si>
    <t>赴瑞士參加高登研究會議。5/28-5/29：出席Gordon Research Seminars；5/29-6/3：出席Gordon Research Conference。</t>
  </si>
  <si>
    <t>植物選擇性剪接原則及生理意義之重要性_MOST103-2311-B-001-005-MY3(植虎)</t>
  </si>
  <si>
    <t>參加第18屆International Symposium on Iron Nutrition and Interaction in Plants研討會，於會中發表論文題目為：Orchestration of transcriptional and translational control of cellular iron homeostasis</t>
  </si>
  <si>
    <t>LWD蛋白質參與調控阿拉伯芥生物時鐘的分子機制研究_MOST103-2311-B-001-009-MY3(植幸)</t>
  </si>
  <si>
    <t>1.參加在韓國慶州舉辦之第27屆阿拉伯芥國際會議 2.發表LWD 蛋白質相關研究進度之壁報論文</t>
  </si>
  <si>
    <t>參加國際會議ICAR 2016 發表LWD蛋白質相關研究進度之壁報論文</t>
  </si>
  <si>
    <t>兩個逆境誘發的特殊蛋白質,HVA1及HVA22,在植物對抗逆境所扮演的角色(3/3)_MOST 104-2321-B-001-011(植賀)</t>
  </si>
  <si>
    <t>出席"Gordon Research Conference on Salt and Drought Stress in Plants" meeting</t>
  </si>
  <si>
    <t>以基因體學和轉錄體學探討與昆蟲共生之螺旋菌質的遺傳多樣性及演化_MOST 104-2311-B-001-019(植郭)</t>
  </si>
  <si>
    <t>至澳大利亞參加國際學術會議並發表研究成果</t>
  </si>
  <si>
    <t>探索Argonautes蛋白質對病毒感染的抗性反應機制(1/3)(植生)_MOST 104-2321-B-001-055</t>
  </si>
  <si>
    <t>參加ICAR 2016國際會議,壁報論文發表題目:Abscisic Acid Induces Resistance against Bamboo Mosaic Virus Through Argonautes 2 and 3</t>
  </si>
  <si>
    <t>出國參加2016年ISINIP(International Symposium on Iron Nutrition and Interaction in Plants)研討會</t>
  </si>
  <si>
    <t>研究玉米 Ameiotic1 基因功能及其在無融合生殖之應用可能性((植茹)_MOST 104-2311-B-001-021-MY3</t>
  </si>
  <si>
    <t>出國參加2016 Meiosis Gordon Research Conference and Gordon Research Seminar研討會，並受邀演講</t>
  </si>
  <si>
    <t>植物內生性及病毒核醣核酸之運送－植物內生性核醣核酸之運送(1/3)(植余)_MOST 104-2311-B-001-040</t>
  </si>
  <si>
    <t>參加美國植物學學會2016年年會，發表壁報論文。</t>
  </si>
  <si>
    <t>出國參加第18屆ISINIP研討會，於該研討會中進行海報發表</t>
  </si>
  <si>
    <t>植物內生性及病毒核醣核酸之運送Endogenous and viral RNA trafficking in plants－細胞核參與植物病毒運送(1/3)(植生)_MOST 104-2311-B-001-041</t>
  </si>
  <si>
    <t>參加(2016 IS-MPMI XNII Congress)提高分子植物 - 微生物相互作用的科學國際v學術研討會會議.</t>
  </si>
  <si>
    <t>藍綠菌光合作用反應中心光系統二的光保護分子機制的探討(植安)_MOST 104-2311-B-001-035</t>
  </si>
  <si>
    <t>參加2016年8月6日到12日在荷蘭舉辦的第17屆國際光合作用大會並發表壁報論文.</t>
  </si>
  <si>
    <t>碳氮不平衡對阿拉伯芥根系發育之研究c1pUTs 和 MAP70s的功能性探討(植勳)_MOST 104-2311-B-001-026</t>
  </si>
  <si>
    <t>參加第十七屆國際光合作用會議並出席大會所安排的演講、壁報報告，與相關學者討論光合作用研究的最新發展。</t>
  </si>
  <si>
    <t>光促進阿拉伯芥轉譯作用的分子機制研究(2/5)(植幸)_MOST 104-2321-B-001-027</t>
  </si>
  <si>
    <t>1.參加美國植物學年會 2.發表阿拉伯芥選擇性轉譯調控機制相關研究</t>
  </si>
  <si>
    <t>沉香樹懸浮細胞生產香氣成分之組體學研究與分析(植榮)_MOST 105-2313-B-001-008</t>
  </si>
  <si>
    <t>研討會內容涵蓋：沉香樹保育、沉香萃取、生理生態與逆境生理，基因組體學和生物技術。並且提供了沉香研究國際合作極佳的機會。</t>
  </si>
  <si>
    <t>參加日本植物脂質科學研究會</t>
  </si>
  <si>
    <t>人工生殖對試管嬰兒的全基因體基因表現及DNA甲基化 式的影響(植仰)_NHRI-EX105-10324SC</t>
  </si>
  <si>
    <t>參加6th Annual NGS and Single Cell Analysis Congress 以及 3rd Annual Microbiology and Infectious Disease Asia Congress, Singapore，發表主題"Profiling Methylome and Transcriptome of Mouse in vitro Fertilization"</t>
  </si>
  <si>
    <t>磷酸肌酯訊息傳導參與內質網逆境反應(植江)_MOST 105-2628-B-001-007-MY3</t>
  </si>
  <si>
    <t>赴西班牙參加並發表海報於EMBO國際學術會議“Structure and function of the endoplasmic reticulum"</t>
  </si>
  <si>
    <t>出席演講，演講題目為"Cytoskeleton and membrane-associated mechanisms involved in plant drought acclimation"</t>
  </si>
  <si>
    <t>油滴的生成與維持 (II) : 細胞如何運用油滴中的儲存性油脂 (植雯)_MOST 104-2311-B-001-015-MY3</t>
  </si>
  <si>
    <t>本計畫研究細胞如何運用油滴中得儲存性油脂來執行細胞中各式生理功能</t>
  </si>
  <si>
    <t>農桿菌第六型分泌DNA分解?效應分子之分泌機制與結構之研究(植 民)_MOST 104-2311-B-001-025-MY3</t>
  </si>
  <si>
    <t>出席 Protein Secretion in Bacteria Conference</t>
  </si>
  <si>
    <t>FCA 和VP1 在調節水稻種子發芽過程中的功能(植賀)_MOST 105-2311-B-001-065</t>
  </si>
  <si>
    <t>出席第十四屆國際水稻功能性基因體研討會</t>
  </si>
  <si>
    <t>台灣水稻突變種原庫及基因資料庫之管理、推廣與技術支援(2/4)(植賀)_MOST 105-2321-B-001-028</t>
  </si>
  <si>
    <t>出席第14屆國際水稻功能性基因體研討會並口頭報告論文</t>
  </si>
  <si>
    <t>植物中光線調控替代性RNA剪切的分子機制(植涂)_MOST 105-2311-B-001-066</t>
  </si>
  <si>
    <t>參加於英國里斯市舉辦之第十八屆苔蘚國際研討會並發表演說</t>
  </si>
  <si>
    <t>參加Protein Secretion in Bacteria Conference, 海報報告</t>
  </si>
  <si>
    <t>出席第14屆國際水稻功能性基因體研討會及6th McDonnell Symposium: Addressing Global Changes through International Collaboration on Education and Research</t>
  </si>
  <si>
    <t>歐美日等_不定期會議_分子生物及植物學相關會議 10000.00</t>
  </si>
  <si>
    <t>參與第十四屆國際稻米功能性基因體研討會及參訪IRD, CIRAD, University of Perpignan,CNRS。 在University of Perpignan 講題為 Part of the endosperm act as transfer cells in mid-developing soybean seeds</t>
  </si>
  <si>
    <t>105-2914-I-001-036-A1</t>
  </si>
  <si>
    <t>參加2016美國植物學會 (Plant Biology 2016)</t>
  </si>
  <si>
    <t>2016組團參加第十四屆國際水稻功能基因體會議 105-2919-I-001-002-A1</t>
  </si>
  <si>
    <t>參加第14屆國際水稻功能基因體會議、演講、參加籌備會議、決定2018年之主辦國</t>
  </si>
  <si>
    <t>中華文化基金會(4th POST-EURASNET MEETING PROGRAM)</t>
  </si>
  <si>
    <t>4th POST-EURASNET MEETING PROGRAM 於會議中交流RNA剪接領域的最新發展與研究。</t>
  </si>
  <si>
    <t>參加ISME16會議</t>
  </si>
  <si>
    <t>參加ISME16會議並口頭報告</t>
  </si>
  <si>
    <t>參與第十四屆國際稻米功能性基因體研討會 給海報、討論、參訪</t>
  </si>
  <si>
    <t>2016組團參加第十四屆國際水稻功能基因體會議 105-2911-I-001-002-A1</t>
  </si>
  <si>
    <t>參與第十四屆國際稻米功能性基因體研討會 給海報 討論 參訪</t>
  </si>
  <si>
    <t>參加第14屆國際水稻功能基因體會議、參訪IRD, CIRAD</t>
  </si>
  <si>
    <t>參與第十四屆國際稻米功能性基因體研討會 給海報與參加討論</t>
  </si>
  <si>
    <t>104年度(MOST-BBSRC)台英國際夥伴關係建立暨交流計畫(IPA) 計畫名稱: 第六型蛋白質分泌系統在植物寄主中細菌種間生長競爭之研究 核定編號: 104-2911-I-001-517</t>
  </si>
  <si>
    <t>至英國倫敦帝國學院實驗室進行學術交流參訪,並完成相關合作之實驗工作</t>
  </si>
  <si>
    <t>赴英國執行行本實驗室與Dr. Alain FILLOUX教授合作雙邊研究計畫</t>
  </si>
  <si>
    <t>340599 EMBO補助款</t>
  </si>
  <si>
    <t>參加第18屆日本演化學會年度會議</t>
  </si>
  <si>
    <t>中華文化基金會(中研院植微所第五屆壁報比賽)</t>
  </si>
  <si>
    <t>赴瑞士參加高登研究會議。</t>
  </si>
  <si>
    <t>出國參加2016年第18屆ISINIP(International Symposium on Iron Nutrition and Interaction in Plants)研討會</t>
  </si>
  <si>
    <t>出席第18屆International Symposium on Iron Nutrition and Interaction in Plants研討會</t>
  </si>
  <si>
    <t>參加The International Conference on Arabidopsis Research (ICAR)</t>
  </si>
  <si>
    <t>ICAR is the largest annual international conference focusing on cutting-edge plant research.</t>
  </si>
  <si>
    <t>中華文化教育基金</t>
  </si>
  <si>
    <t>參加國際研討會</t>
  </si>
  <si>
    <r>
      <t xml:space="preserve">00024753
</t>
    </r>
    <r>
      <rPr>
        <sz val="8"/>
        <color indexed="8"/>
        <rFont val="細明體"/>
        <family val="3"/>
      </rPr>
      <t>科技部專案補助款</t>
    </r>
    <r>
      <rPr>
        <sz val="8"/>
        <color indexed="8"/>
        <rFont val="Calibri"/>
        <family val="2"/>
      </rPr>
      <t>,</t>
    </r>
    <r>
      <rPr>
        <sz val="8"/>
        <color indexed="8"/>
        <rFont val="細明體"/>
        <family val="3"/>
      </rPr>
      <t>報告於結案時一併繳交</t>
    </r>
  </si>
  <si>
    <r>
      <t xml:space="preserve">00024820
</t>
    </r>
    <r>
      <rPr>
        <sz val="8"/>
        <color indexed="8"/>
        <rFont val="細明體"/>
        <family val="3"/>
      </rPr>
      <t>科技部專案補助款</t>
    </r>
    <r>
      <rPr>
        <sz val="8"/>
        <color indexed="8"/>
        <rFont val="Calibri"/>
        <family val="2"/>
      </rPr>
      <t>,</t>
    </r>
    <r>
      <rPr>
        <sz val="8"/>
        <color indexed="8"/>
        <rFont val="細明體"/>
        <family val="3"/>
      </rPr>
      <t>報告於結案時一併繳交</t>
    </r>
  </si>
  <si>
    <t>105/06/29-105/07/07</t>
  </si>
  <si>
    <t>參加ICAR2016</t>
  </si>
  <si>
    <t>ICAR2016</t>
  </si>
  <si>
    <t>高PH值下鐵吸收機制及細胞平衡(請款/通知報到) 105-2918-I-001 -001 -</t>
  </si>
  <si>
    <t>將會在國際研討會上用海報方式呈現實驗工作成果,並與德國洪堡大學進行相關植物領域的各項研究交流</t>
  </si>
  <si>
    <t>105/01/01-105/09/01</t>
  </si>
  <si>
    <t>馬德里(Madrid) 柏林(Berlin)</t>
  </si>
  <si>
    <r>
      <t xml:space="preserve">00031577
</t>
    </r>
    <r>
      <rPr>
        <sz val="7"/>
        <color indexed="8"/>
        <rFont val="細明體"/>
        <family val="3"/>
      </rPr>
      <t>科技部</t>
    </r>
    <r>
      <rPr>
        <sz val="7"/>
        <color indexed="8"/>
        <rFont val="Calibri"/>
        <family val="2"/>
      </rPr>
      <t>106.1.18</t>
    </r>
    <r>
      <rPr>
        <sz val="7"/>
        <color indexed="8"/>
        <rFont val="細明體"/>
        <family val="3"/>
      </rPr>
      <t>以科部科字第</t>
    </r>
    <r>
      <rPr>
        <sz val="7"/>
        <color indexed="8"/>
        <rFont val="Calibri"/>
        <family val="2"/>
      </rPr>
      <t>1060005553</t>
    </r>
    <r>
      <rPr>
        <sz val="7"/>
        <color indexed="8"/>
        <rFont val="細明體"/>
        <family val="3"/>
      </rPr>
      <t>號函告繳回</t>
    </r>
  </si>
  <si>
    <r>
      <rPr>
        <sz val="10"/>
        <color indexed="8"/>
        <rFont val="細明體"/>
        <family val="3"/>
      </rPr>
      <t>赴</t>
    </r>
    <r>
      <rPr>
        <sz val="10"/>
        <color indexed="8"/>
        <rFont val="Calibri"/>
        <family val="2"/>
      </rPr>
      <t xml:space="preserve"> Geneva, Switzerland</t>
    </r>
    <r>
      <rPr>
        <sz val="10"/>
        <color indexed="8"/>
        <rFont val="細明體"/>
        <family val="3"/>
      </rPr>
      <t>參加每年一次腦成像會議</t>
    </r>
    <r>
      <rPr>
        <sz val="10"/>
        <color indexed="8"/>
        <rFont val="Calibri"/>
        <family val="2"/>
      </rPr>
      <t xml:space="preserve"> (The 22nd  (OHBM))</t>
    </r>
  </si>
  <si>
    <r>
      <rPr>
        <sz val="10"/>
        <color indexed="8"/>
        <rFont val="細明體"/>
        <family val="3"/>
      </rPr>
      <t>受邀赴澳洲悉尼出席</t>
    </r>
    <r>
      <rPr>
        <sz val="10"/>
        <color indexed="8"/>
        <rFont val="Calibri"/>
        <family val="2"/>
      </rPr>
      <t>DEMA 2015</t>
    </r>
    <r>
      <rPr>
        <sz val="10"/>
        <color indexed="8"/>
        <rFont val="細明體"/>
        <family val="3"/>
      </rPr>
      <t>國際會議和於新加坡出席</t>
    </r>
    <r>
      <rPr>
        <sz val="10"/>
        <color indexed="8"/>
        <rFont val="Calibri"/>
        <family val="2"/>
      </rPr>
      <t>ARS-IASC 2015</t>
    </r>
    <r>
      <rPr>
        <sz val="10"/>
        <color indexed="8"/>
        <rFont val="細明體"/>
        <family val="3"/>
      </rPr>
      <t>國際會議。</t>
    </r>
  </si>
  <si>
    <r>
      <rPr>
        <sz val="10"/>
        <color indexed="8"/>
        <rFont val="細明體"/>
        <family val="3"/>
      </rPr>
      <t>受邀赴日本小倉出席</t>
    </r>
    <r>
      <rPr>
        <sz val="10"/>
        <color indexed="8"/>
        <rFont val="Calibri"/>
        <family val="2"/>
      </rPr>
      <t>The 4th JTCCA</t>
    </r>
    <r>
      <rPr>
        <sz val="10"/>
        <color indexed="8"/>
        <rFont val="細明體"/>
        <family val="3"/>
      </rPr>
      <t>國際會議。</t>
    </r>
  </si>
  <si>
    <r>
      <t xml:space="preserve">00027956
</t>
    </r>
    <r>
      <rPr>
        <sz val="10"/>
        <color indexed="8"/>
        <rFont val="細明體"/>
        <family val="3"/>
      </rPr>
      <t>報告於結案時一併繳交</t>
    </r>
  </si>
  <si>
    <r>
      <t xml:space="preserve">00029275
</t>
    </r>
    <r>
      <rPr>
        <sz val="10"/>
        <color indexed="8"/>
        <rFont val="細明體"/>
        <family val="3"/>
      </rPr>
      <t>報告於結案時一併繳交</t>
    </r>
  </si>
  <si>
    <r>
      <rPr>
        <sz val="10"/>
        <color indexed="8"/>
        <rFont val="細明體"/>
        <family val="3"/>
      </rPr>
      <t>受邀赴法國出席</t>
    </r>
    <r>
      <rPr>
        <sz val="10"/>
        <color indexed="8"/>
        <rFont val="Calibri"/>
        <family val="2"/>
      </rPr>
      <t>ISNPS 2016</t>
    </r>
    <r>
      <rPr>
        <sz val="10"/>
        <color indexed="8"/>
        <rFont val="細明體"/>
        <family val="3"/>
      </rPr>
      <t>國際會議和赴意大利出席</t>
    </r>
    <r>
      <rPr>
        <sz val="10"/>
        <color indexed="8"/>
        <rFont val="Calibri"/>
        <family val="2"/>
      </rPr>
      <t>ICISE 2016</t>
    </r>
    <r>
      <rPr>
        <sz val="10"/>
        <color indexed="8"/>
        <rFont val="細明體"/>
        <family val="3"/>
      </rPr>
      <t>國際會議。</t>
    </r>
  </si>
  <si>
    <r>
      <rPr>
        <sz val="10"/>
        <color indexed="8"/>
        <rFont val="細明體"/>
        <family val="3"/>
      </rPr>
      <t>出席英國愛丁堡出席國際會議「</t>
    </r>
    <r>
      <rPr>
        <sz val="10"/>
        <color indexed="8"/>
        <rFont val="Calibri"/>
        <family val="2"/>
      </rPr>
      <t>26th Annual Conference of The International Environmetrics Society</t>
    </r>
    <r>
      <rPr>
        <sz val="10"/>
        <color indexed="8"/>
        <rFont val="細明體"/>
        <family val="3"/>
      </rPr>
      <t>」。</t>
    </r>
  </si>
  <si>
    <r>
      <t xml:space="preserve">00029276
</t>
    </r>
    <r>
      <rPr>
        <sz val="10"/>
        <color indexed="8"/>
        <rFont val="細明體"/>
        <family val="3"/>
      </rPr>
      <t>報告於結案時一併繳交</t>
    </r>
  </si>
  <si>
    <r>
      <rPr>
        <sz val="10"/>
        <color indexed="8"/>
        <rFont val="細明體"/>
        <family val="3"/>
      </rPr>
      <t>赴美國劍橋</t>
    </r>
    <r>
      <rPr>
        <sz val="10"/>
        <color indexed="8"/>
        <rFont val="Calibri"/>
        <family val="2"/>
      </rPr>
      <t>MIT</t>
    </r>
    <r>
      <rPr>
        <sz val="10"/>
        <color indexed="8"/>
        <rFont val="細明體"/>
        <family val="3"/>
      </rPr>
      <t>研究</t>
    </r>
    <r>
      <rPr>
        <sz val="10"/>
        <color indexed="8"/>
        <rFont val="Calibri"/>
        <family val="2"/>
      </rPr>
      <t>;</t>
    </r>
    <r>
      <rPr>
        <sz val="10"/>
        <color indexed="8"/>
        <rFont val="細明體"/>
        <family val="3"/>
      </rPr>
      <t>赴古巴出席</t>
    </r>
    <r>
      <rPr>
        <sz val="10"/>
        <color indexed="8"/>
        <rFont val="Calibri"/>
        <family val="2"/>
      </rPr>
      <t>OMICS2016</t>
    </r>
    <r>
      <rPr>
        <sz val="10"/>
        <color indexed="8"/>
        <rFont val="細明體"/>
        <family val="3"/>
      </rPr>
      <t>生物信息學國際會議。</t>
    </r>
  </si>
  <si>
    <r>
      <rPr>
        <sz val="6.5"/>
        <color indexed="8"/>
        <rFont val="細明體"/>
        <family val="3"/>
      </rPr>
      <t>赴摩洛哥馬拉喀什</t>
    </r>
    <r>
      <rPr>
        <sz val="6.5"/>
        <color indexed="8"/>
        <rFont val="Calibri"/>
        <family val="2"/>
      </rPr>
      <t xml:space="preserve"> (Marrakesh, Morocco) </t>
    </r>
    <r>
      <rPr>
        <sz val="6.5"/>
        <color indexed="8"/>
        <rFont val="細明體"/>
        <family val="3"/>
      </rPr>
      <t>參加</t>
    </r>
    <r>
      <rPr>
        <sz val="6.5"/>
        <color indexed="8"/>
        <rFont val="Calibri"/>
        <family val="2"/>
      </rPr>
      <t xml:space="preserve"> 61st World Statistics Congress - ISI2017 Scientific Program Committee </t>
    </r>
    <r>
      <rPr>
        <sz val="6.5"/>
        <color indexed="8"/>
        <rFont val="細明體"/>
        <family val="3"/>
      </rPr>
      <t>籌備會議，討論篩選</t>
    </r>
    <r>
      <rPr>
        <sz val="6.5"/>
        <color indexed="8"/>
        <rFont val="Calibri"/>
        <family val="2"/>
      </rPr>
      <t xml:space="preserve"> Invited Session Proposals</t>
    </r>
    <r>
      <rPr>
        <sz val="6.5"/>
        <color indexed="8"/>
        <rFont val="細明體"/>
        <family val="3"/>
      </rPr>
      <t>。
(ISI 提供來回機票與三天住宿)</t>
    </r>
  </si>
  <si>
    <r>
      <rPr>
        <sz val="8.5"/>
        <color indexed="8"/>
        <rFont val="細明體"/>
        <family val="3"/>
      </rPr>
      <t>出席腦影像</t>
    </r>
    <r>
      <rPr>
        <sz val="8.5"/>
        <color indexed="8"/>
        <rFont val="Calibri"/>
        <family val="2"/>
      </rPr>
      <t>OHBM</t>
    </r>
    <r>
      <rPr>
        <sz val="8.5"/>
        <color indexed="8"/>
        <rFont val="細明體"/>
        <family val="3"/>
      </rPr>
      <t>國際會議並發表腦影像分析研究成果，會後訪問劍橋大學新成立的臨床影像數學及統計分析中心，並討論進一步合作研究。</t>
    </r>
  </si>
  <si>
    <r>
      <t xml:space="preserve">00027767
</t>
    </r>
    <r>
      <rPr>
        <sz val="10"/>
        <color indexed="8"/>
        <rFont val="細明體"/>
        <family val="3"/>
      </rPr>
      <t>科技部專案補助</t>
    </r>
  </si>
  <si>
    <r>
      <t>The 53rd Annual Meetings of the Public Choice Society (</t>
    </r>
    <r>
      <rPr>
        <sz val="9"/>
        <color indexed="8"/>
        <rFont val="細明體"/>
        <family val="3"/>
      </rPr>
      <t>科技部專案補助</t>
    </r>
    <r>
      <rPr>
        <sz val="9"/>
        <color indexed="8"/>
        <rFont val="Calibri"/>
        <family val="2"/>
      </rPr>
      <t>80,000</t>
    </r>
    <r>
      <rPr>
        <sz val="9"/>
        <color indexed="8"/>
        <rFont val="細明體"/>
        <family val="3"/>
      </rPr>
      <t>元，補助編號：</t>
    </r>
    <r>
      <rPr>
        <sz val="9"/>
        <color indexed="8"/>
        <rFont val="Calibri"/>
        <family val="2"/>
      </rPr>
      <t>MOST105-2914-I-001-009-A1</t>
    </r>
    <r>
      <rPr>
        <sz val="9"/>
        <color indexed="8"/>
        <rFont val="細明體"/>
        <family val="3"/>
      </rPr>
      <t>。)</t>
    </r>
  </si>
  <si>
    <t>計畫結餘款再運用-陳珍信</t>
  </si>
  <si>
    <t>105/10/05-105/10/10</t>
  </si>
  <si>
    <t>計畫結餘款再運用-楊欣洲</t>
  </si>
  <si>
    <t>計畫結餘款再運用-張源俊</t>
  </si>
  <si>
    <t>105/09/03-105/09/10</t>
  </si>
  <si>
    <t>Kanazawa 福井(Fukui)</t>
  </si>
  <si>
    <t>計畫結餘款再運用-銀慶剛</t>
  </si>
  <si>
    <t>105/11/20-105/11/25</t>
  </si>
  <si>
    <t>茨城縣</t>
  </si>
  <si>
    <t>赴大陸成都研究訪問、參加大陸九寨溝 2016 QR2MSE &amp; WCEAM 國際研討會及參加美國芝加哥 JSM 2016 國際研討會</t>
  </si>
  <si>
    <t>應日本癌學會邀請參加其第75屆學術總會年會，並於國際場次"統合数理腫瘍学の方法 (Methods of Integrative Mathematical Oncology)"發表演講。會後兩天例假日（10月9、10日）於日本旅遊。</t>
  </si>
  <si>
    <t>Attending the 1st Asian National Young Academy Meeting</t>
  </si>
  <si>
    <t>To have discussion on statistical analysis for medical and ecological data and possible applications our currently developed methods. (The expenses of airplane tickets and hotel accommodation are fully supported by a research fund in Japan.)</t>
  </si>
  <si>
    <t>交叉驗證法在高維度迴歸模型之理論及應用</t>
  </si>
  <si>
    <r>
      <t xml:space="preserve">00027334
</t>
    </r>
    <r>
      <rPr>
        <sz val="10"/>
        <color indexed="8"/>
        <rFont val="細明體"/>
        <family val="3"/>
      </rPr>
      <t>報告於結案時一併繳交</t>
    </r>
  </si>
  <si>
    <t>與黃顯貴老師赴巴黎六大共同研究並參加台奧法三方會議
(使用黃顯貴老師臺法國合計畫經費)</t>
  </si>
  <si>
    <r>
      <t>1. Visit Yonsei University (</t>
    </r>
    <r>
      <rPr>
        <sz val="8"/>
        <color indexed="8"/>
        <rFont val="細明體"/>
        <family val="3"/>
      </rPr>
      <t>延世大學</t>
    </r>
    <r>
      <rPr>
        <sz val="8"/>
        <color indexed="8"/>
        <rFont val="Calibri"/>
        <family val="2"/>
      </rPr>
      <t>) and give talk at Department of Applied Statistics 2. Attend Korean Statistical Meeting
(</t>
    </r>
    <r>
      <rPr>
        <sz val="8"/>
        <color indexed="8"/>
        <rFont val="細明體"/>
        <family val="3"/>
      </rPr>
      <t>對方預計補助</t>
    </r>
    <r>
      <rPr>
        <sz val="8"/>
        <color indexed="8"/>
        <rFont val="Calibri"/>
        <family val="2"/>
      </rPr>
      <t>50</t>
    </r>
    <r>
      <rPr>
        <sz val="8"/>
        <color indexed="8"/>
        <rFont val="細明體"/>
        <family val="3"/>
      </rPr>
      <t>萬韓元，回國後如數扣除。)</t>
    </r>
  </si>
  <si>
    <r>
      <rPr>
        <sz val="8.5"/>
        <color indexed="8"/>
        <rFont val="細明體"/>
        <family val="3"/>
      </rPr>
      <t>受邀赴英國</t>
    </r>
    <r>
      <rPr>
        <sz val="8.5"/>
        <color indexed="8"/>
        <rFont val="Calibri"/>
        <family val="2"/>
      </rPr>
      <t>University of Southampton</t>
    </r>
    <r>
      <rPr>
        <sz val="8.5"/>
        <color indexed="8"/>
        <rFont val="細明體"/>
        <family val="3"/>
      </rPr>
      <t>作研究訪問</t>
    </r>
    <r>
      <rPr>
        <sz val="8.5"/>
        <color indexed="8"/>
        <rFont val="Calibri"/>
        <family val="2"/>
      </rPr>
      <t xml:space="preserve">, </t>
    </r>
    <r>
      <rPr>
        <sz val="8.5"/>
        <color indexed="8"/>
        <rFont val="細明體"/>
        <family val="3"/>
      </rPr>
      <t>和順道赴西班牙出席</t>
    </r>
    <r>
      <rPr>
        <sz val="8.5"/>
        <color indexed="8"/>
        <rFont val="Calibri"/>
        <family val="2"/>
      </rPr>
      <t xml:space="preserve">COMPSTAT 2016, </t>
    </r>
    <r>
      <rPr>
        <sz val="8.5"/>
        <color indexed="8"/>
        <rFont val="細明體"/>
        <family val="3"/>
      </rPr>
      <t>並受邀主持場次和發表演講</t>
    </r>
    <r>
      <rPr>
        <sz val="8.5"/>
        <color indexed="8"/>
        <rFont val="Calibri"/>
        <family val="2"/>
      </rPr>
      <t>. (</t>
    </r>
    <r>
      <rPr>
        <sz val="8.5"/>
        <color indexed="8"/>
        <rFont val="細明體"/>
        <family val="3"/>
      </rPr>
      <t>赴英國研究交通費)</t>
    </r>
  </si>
  <si>
    <t>計畫結餘款再運用-潘建興</t>
  </si>
  <si>
    <t>105/11/23-105/12/05</t>
  </si>
  <si>
    <t>受邀赴日本訪問Kobe University, 討論研究合作相關事宜並於所上發表演講. 此外, 將於訪問期間會晤在日本的研究合作者, 討論研究合作相關事宜.</t>
  </si>
  <si>
    <t>本人赴上海參加The 10th ICSA international conference，並擔任invited speaker。</t>
  </si>
  <si>
    <t>105/06/27-105/06/29</t>
  </si>
  <si>
    <t>105/12/17-105/12/22</t>
  </si>
  <si>
    <t>針對高維時間序列之選模給一邀請演講</t>
  </si>
  <si>
    <t>受邀赴中國上海出席ICSA國際會議, 並於會中主持場次和發表演講.</t>
  </si>
  <si>
    <t>應邀出席泛華統計協會第十屆國際學術會議並發表演講之內容為生物醫學統計研究之成果。</t>
  </si>
  <si>
    <r>
      <t xml:space="preserve">00027678
</t>
    </r>
    <r>
      <rPr>
        <sz val="8.5"/>
        <color indexed="8"/>
        <rFont val="細明體"/>
        <family val="3"/>
      </rPr>
      <t>出國報告連同結案報告一併繳交</t>
    </r>
  </si>
  <si>
    <r>
      <t xml:space="preserve">00027398
</t>
    </r>
    <r>
      <rPr>
        <sz val="8.5"/>
        <color indexed="8"/>
        <rFont val="細明體"/>
        <family val="3"/>
      </rPr>
      <t>出國報告連同結案報告一併繳交</t>
    </r>
  </si>
  <si>
    <r>
      <t xml:space="preserve">00027609
</t>
    </r>
    <r>
      <rPr>
        <sz val="8.5"/>
        <color indexed="8"/>
        <rFont val="細明體"/>
        <family val="3"/>
      </rPr>
      <t>出國報告連同結案報告一併繳交</t>
    </r>
  </si>
  <si>
    <r>
      <t xml:space="preserve">00027141
</t>
    </r>
    <r>
      <rPr>
        <sz val="8.5"/>
        <color indexed="8"/>
        <rFont val="細明體"/>
        <family val="3"/>
      </rPr>
      <t>出國報告連同結案報告一併繳交</t>
    </r>
  </si>
  <si>
    <r>
      <t xml:space="preserve">00026649
</t>
    </r>
    <r>
      <rPr>
        <sz val="8.5"/>
        <color indexed="8"/>
        <rFont val="細明體"/>
        <family val="3"/>
      </rPr>
      <t>出國報告連同結案報告一併繳交</t>
    </r>
  </si>
  <si>
    <r>
      <t xml:space="preserve">00027492
</t>
    </r>
    <r>
      <rPr>
        <sz val="8.5"/>
        <color indexed="8"/>
        <rFont val="細明體"/>
        <family val="3"/>
      </rPr>
      <t>出國報告連同結案報告一併繳交</t>
    </r>
  </si>
  <si>
    <r>
      <t xml:space="preserve">00027078
</t>
    </r>
    <r>
      <rPr>
        <sz val="8.5"/>
        <color indexed="8"/>
        <rFont val="細明體"/>
        <family val="3"/>
      </rPr>
      <t>出國報告連同結案報告一併繳交</t>
    </r>
  </si>
  <si>
    <r>
      <t xml:space="preserve">00027857
</t>
    </r>
    <r>
      <rPr>
        <sz val="8.5"/>
        <color indexed="8"/>
        <rFont val="細明體"/>
        <family val="3"/>
      </rPr>
      <t>出國報告連同結案報告一併繳交</t>
    </r>
  </si>
  <si>
    <r>
      <t xml:space="preserve">00028500
</t>
    </r>
    <r>
      <rPr>
        <sz val="8.5"/>
        <color indexed="8"/>
        <rFont val="細明體"/>
        <family val="3"/>
      </rPr>
      <t>出國報告連同結案報告一併繳交</t>
    </r>
  </si>
  <si>
    <r>
      <t xml:space="preserve">00032823
</t>
    </r>
    <r>
      <rPr>
        <sz val="8.5"/>
        <color indexed="8"/>
        <rFont val="細明體"/>
        <family val="3"/>
      </rPr>
      <t>出國報告連同結案報告一併繳交</t>
    </r>
  </si>
  <si>
    <r>
      <t xml:space="preserve">00030421
</t>
    </r>
    <r>
      <rPr>
        <sz val="8.5"/>
        <color indexed="8"/>
        <rFont val="細明體"/>
        <family val="3"/>
      </rPr>
      <t>出國報告連同結案報告一併繳交</t>
    </r>
  </si>
  <si>
    <r>
      <t xml:space="preserve">00031273
</t>
    </r>
    <r>
      <rPr>
        <sz val="8.5"/>
        <color indexed="8"/>
        <rFont val="細明體"/>
        <family val="3"/>
      </rPr>
      <t>補助編號</t>
    </r>
    <r>
      <rPr>
        <sz val="8.5"/>
        <color indexed="8"/>
        <rFont val="Calibri"/>
        <family val="2"/>
      </rPr>
      <t>:105-2914-I-001-042-A1</t>
    </r>
  </si>
  <si>
    <r>
      <t xml:space="preserve">00029855
</t>
    </r>
    <r>
      <rPr>
        <sz val="8.5"/>
        <color indexed="8"/>
        <rFont val="細明體"/>
        <family val="3"/>
      </rPr>
      <t>補助編號</t>
    </r>
    <r>
      <rPr>
        <sz val="8.5"/>
        <color indexed="8"/>
        <rFont val="Calibri"/>
        <family val="2"/>
      </rPr>
      <t>:MOST105-2911-I-001-528</t>
    </r>
  </si>
  <si>
    <r>
      <t xml:space="preserve">00029627
</t>
    </r>
    <r>
      <rPr>
        <sz val="8.5"/>
        <color indexed="8"/>
        <rFont val="細明體"/>
        <family val="3"/>
      </rPr>
      <t>委託單位未要求繳交</t>
    </r>
    <r>
      <rPr>
        <sz val="8.5"/>
        <color indexed="8"/>
        <rFont val="Calibri"/>
        <family val="2"/>
      </rPr>
      <t>,</t>
    </r>
    <r>
      <rPr>
        <sz val="8.5"/>
        <color indexed="8"/>
        <rFont val="細明體"/>
        <family val="3"/>
      </rPr>
      <t>故無須提出報告</t>
    </r>
  </si>
  <si>
    <r>
      <t xml:space="preserve">00030842
</t>
    </r>
    <r>
      <rPr>
        <sz val="8.5"/>
        <color indexed="8"/>
        <rFont val="細明體"/>
        <family val="3"/>
      </rPr>
      <t>出國報告連同結案報告一併繳交</t>
    </r>
  </si>
  <si>
    <r>
      <t xml:space="preserve">00030631
</t>
    </r>
    <r>
      <rPr>
        <sz val="8.5"/>
        <color indexed="8"/>
        <rFont val="細明體"/>
        <family val="3"/>
      </rPr>
      <t>委託單位未要求繳交</t>
    </r>
    <r>
      <rPr>
        <sz val="8.5"/>
        <color indexed="8"/>
        <rFont val="Calibri"/>
        <family val="2"/>
      </rPr>
      <t>,</t>
    </r>
    <r>
      <rPr>
        <sz val="8.5"/>
        <color indexed="8"/>
        <rFont val="細明體"/>
        <family val="3"/>
      </rPr>
      <t>故無須提出報告</t>
    </r>
  </si>
  <si>
    <r>
      <t xml:space="preserve">00031283
</t>
    </r>
    <r>
      <rPr>
        <sz val="8.5"/>
        <color indexed="8"/>
        <rFont val="細明體"/>
        <family val="3"/>
      </rPr>
      <t>出國報告連同結案報告一併繳交</t>
    </r>
  </si>
  <si>
    <r>
      <t xml:space="preserve">00030603
</t>
    </r>
    <r>
      <rPr>
        <sz val="8.5"/>
        <color indexed="8"/>
        <rFont val="細明體"/>
        <family val="3"/>
      </rPr>
      <t>出國報告連同結案報告一併繳交</t>
    </r>
  </si>
  <si>
    <r>
      <t xml:space="preserve">00030025
</t>
    </r>
    <r>
      <rPr>
        <sz val="8.5"/>
        <color indexed="8"/>
        <rFont val="細明體"/>
        <family val="3"/>
      </rPr>
      <t>出國報告連同結案報告一併繳交</t>
    </r>
  </si>
  <si>
    <t>前往印度海德拉巴Pondicherry University進行移地研究</t>
  </si>
  <si>
    <t>前往印度清奈進行移地研究</t>
  </si>
  <si>
    <t>赴G.A. Razuvaev Institute of Organometallic Chemistry RA 俄羅斯國家科學院有機金屬科學研究所執行國際合作</t>
  </si>
  <si>
    <r>
      <t xml:space="preserve">00027434
</t>
    </r>
    <r>
      <rPr>
        <sz val="8.5"/>
        <color indexed="8"/>
        <rFont val="細明體"/>
        <family val="3"/>
      </rPr>
      <t>出國報告連同結案報告一併繳交</t>
    </r>
  </si>
  <si>
    <r>
      <t xml:space="preserve">00027386
</t>
    </r>
    <r>
      <rPr>
        <sz val="8.5"/>
        <color indexed="8"/>
        <rFont val="細明體"/>
        <family val="3"/>
      </rPr>
      <t>出國報告連同結案報告一併繳交</t>
    </r>
  </si>
  <si>
    <r>
      <t xml:space="preserve">00030199
</t>
    </r>
    <r>
      <rPr>
        <sz val="8.5"/>
        <color indexed="8"/>
        <rFont val="細明體"/>
        <family val="3"/>
      </rPr>
      <t>出國報告連同結案報告一併繳交</t>
    </r>
  </si>
  <si>
    <t>參加香港科技大學舉辦的IAS生命的分子機器：模擬與實驗交會之國際會議並擔任講員</t>
  </si>
  <si>
    <t>赴西安參加第11屆激光與粒子相互作用國際會議及口頭報告</t>
  </si>
  <si>
    <t>赴中國大陸參加「第六屆海峽兩岸磁共振學術會議(CSMRS-6)」及「第九屆國際華人波譜學學術會議(ICMRS-9)」兩項會議。</t>
  </si>
  <si>
    <t>參加第八屆超快現象與太赫茲波國際研討會(ISUPTW 2016)並給予演講，順道參加第十八屆激光科學研討會。</t>
  </si>
  <si>
    <t>出席第4屆分子模擬國際會議並張貼壁報</t>
  </si>
  <si>
    <t>赴上海出席第4屆分子模擬國際會議並受邀演講</t>
  </si>
  <si>
    <r>
      <t xml:space="preserve">00028697
</t>
    </r>
    <r>
      <rPr>
        <sz val="8.5"/>
        <color indexed="8"/>
        <rFont val="細明體"/>
        <family val="3"/>
      </rPr>
      <t>出國報告連同結案報告一併繳交</t>
    </r>
  </si>
  <si>
    <r>
      <t xml:space="preserve">00027855
</t>
    </r>
    <r>
      <rPr>
        <sz val="8.5"/>
        <color indexed="8"/>
        <rFont val="細明體"/>
        <family val="3"/>
      </rPr>
      <t>出國報告連同結案報告一併繳交</t>
    </r>
  </si>
  <si>
    <r>
      <t xml:space="preserve">00030568
</t>
    </r>
    <r>
      <rPr>
        <sz val="8.5"/>
        <color indexed="8"/>
        <rFont val="細明體"/>
        <family val="3"/>
      </rPr>
      <t>出國報告連同結案報告一併繳交</t>
    </r>
  </si>
  <si>
    <r>
      <t xml:space="preserve">00031665
</t>
    </r>
    <r>
      <rPr>
        <sz val="8.5"/>
        <color indexed="8"/>
        <rFont val="細明體"/>
        <family val="3"/>
      </rPr>
      <t>出國報告連同結案報告一併繳交</t>
    </r>
  </si>
  <si>
    <t>前往美國新墨西哥州聖塔菲市舉行之"Keystone Symposia Conference-Axons:From Cell Biology to Pathology"會中並發表論文</t>
  </si>
  <si>
    <t>前往日本福岡舉行之"第六屆國際性別生物學會議"並發表論文</t>
  </si>
  <si>
    <t>前往美國新墨西哥州聖塔菲市舉行之"Keystone Symposia Conference-Axons:From Cell Biology to Pahtlogy"會中並發表論文</t>
  </si>
  <si>
    <t>前往日本京都舉行之"CiRA/ISSCR2016 International Symposia:Pluripotency:From Basic Science to Therapeutic Applications International Symposium"會中並發表演說</t>
  </si>
  <si>
    <t>前往日本京都市舉行之"第21屆RNA學會年度會議"會中並發表論文</t>
  </si>
  <si>
    <t>前往法國巴黎舉行之"第十三屆歐洲真菌遺傳研討會"會中並發表論文</t>
  </si>
  <si>
    <t>前往奧地利Innsbruck市舉行之"The 84th congress of the European Atherosclerosis Society"會議,會中並發表論文</t>
  </si>
  <si>
    <t>前往美國華盛頓州西雅圖市舉行之"2016美國免疫學會年會"會中並發表論文</t>
  </si>
  <si>
    <t>前往美國華盛頓州西雅圖市舉行之"2016美國免疫學年會"會中並發表論文</t>
  </si>
  <si>
    <t>前往日本東京參加"Asia Pacific Prion Symposium 2016"會中並發表論文</t>
  </si>
  <si>
    <t>前往美國費城舉行之"2nd International Conference and Exhibition on Antibodies and Therapeutics"會中並發表論文</t>
  </si>
  <si>
    <t>前往韓國慶州市舉行之"第二十七屆阿拉伯芥研究學術會議"會中發表論文</t>
  </si>
  <si>
    <t>前往韓國慶州市舉行之"第二十七屆國際阿拉伯芥研究學術會議"會中並發表論文</t>
  </si>
  <si>
    <t>前往美國密西根州Ann Arbor市舉行之"Odd Pols 2016"會議,會中並發表論文</t>
  </si>
  <si>
    <t>前往奧地利Innsbruck市舉行之"第84屆歐洲動脈硬化學會會議"會中並發表論文</t>
  </si>
  <si>
    <t>前往比利時Liege市舉行之"端粒,端粒酶,及疾病"會議,會中並發表論文</t>
  </si>
  <si>
    <t>前往法國Bischoffsheim市舉行之"The XXI International Poxvirus,Asfarvirus and Iridovirus Conference"會中並發表論文</t>
  </si>
  <si>
    <t>前往日本京都市舉行之"2016 Joint Annual meeting of the RNA Society and the RNA Society of Japan"會中並發表論文</t>
  </si>
  <si>
    <t>前往美國丹佛市舉行之"美國結晶學學會2016年年會"會中表口頭論文</t>
  </si>
  <si>
    <t>前往美國德州Austin市舉行之"Plant Biology 2016"會中並發表論文</t>
  </si>
  <si>
    <t>前往瑞士巴賽爾市舉行之"第三十屆歐洲結晶學研討會"會中發表口頭演說</t>
  </si>
  <si>
    <t>前往加拿大多倫多室舉行之"2016黏膜腔免疫學課程與年會"會中並發表論文</t>
  </si>
  <si>
    <t>前往日本札幌市舉行之"2016台日蛋白質結晶學研討會"會中發表口頭演說</t>
  </si>
  <si>
    <t>前往日本京都市舉行之"第21屆核醣核酸學會年會"會中並發表論文</t>
  </si>
  <si>
    <t>前往比利時列日市參加"端粒,端粒酶,及疾病"會議,會中並發表論文</t>
  </si>
  <si>
    <t>前往馬來西亞吉隆坡舉行之"第十四屆亞太區神經化學會議"會中並發表論文</t>
  </si>
  <si>
    <t>前往美國馬里蘭州Annapolis市舉行之"2016 International Workshop on Plant Membrane Biology"會議,會中發表演講</t>
  </si>
  <si>
    <t>前往法國蒙佩利爾市舉行之"2016第三屆植物氮營養國際研討會"會中並發表論文</t>
  </si>
  <si>
    <t>前往美國威斯康辛州麥迪遜市舉行之"2016細菌及病毒分子生物學研討會"會中並發表論文</t>
  </si>
  <si>
    <t>前往法國Bischoffsheim市舉行之"The XXI International Poxvirus,Asfarvurus and Iridovirus Conference"會中並發表論文,會後前往Institute of Genetics and Molecular and Cellular Biology給予演講</t>
  </si>
  <si>
    <t>前往希臘克里特參加"2016果蠅神經生物學研討會"會中並發表論文</t>
  </si>
  <si>
    <t>前往捷克布拉格市舉行之"第十二屆國際細胞生物學大會"會中給予演講</t>
  </si>
  <si>
    <t>前往美國馬里蘭州Annapolis市舉行之"2016國際植物細胞膜生物學會議"會中並發表論文</t>
  </si>
  <si>
    <t>前往德國海德堡舉行之"Experimental Approaches to Evolution and Ecology Using Yeast and Other Model Systems"會中並發表論文</t>
  </si>
  <si>
    <t>前往美國聖地牙哥市舉行之"美國神經科學學會2016年會暨衛星會議:台灣之夜"會中不發表論文</t>
  </si>
  <si>
    <t>前往美國佛羅里達州奧蘭多市舉行之'第25屆國際昆蟲學會議'會中並發表論文</t>
  </si>
  <si>
    <t>前往西班牙巴塞隆納室舉行之"國季系統生物學會議"會中並發表論文</t>
  </si>
  <si>
    <t>前往新加坡舉行之"7th Asia Oceania Zebrafish Meeting Singapore 2016"及"9th Asia Zebrafish Disease Model Conference"兩場會議皆發表論文</t>
  </si>
  <si>
    <t>前往美國加州Pacific Grove市舉行之"20th Hemolgobin Switching Conference"會中發表演講,並於會前拜訪王正中院士及會後至聖地牙哥與Kang Zhang教授等研究學者商討合作事宜</t>
  </si>
  <si>
    <t>前往美國聖地牙哥市舉行之"11th Brain Research Conference/4th RNA Metabolism in Neurological Disease"會中並發表論文</t>
  </si>
  <si>
    <t>前往美國聖地牙哥市舉行之"美國神經科學學會2016年會"會中負責籌備及規劃衛星會議:台灣之夜,不發表論文</t>
  </si>
  <si>
    <t>前往義大利那不勒斯舉行之"EMBO國際研究工作坊:高基氏體複合體醣基化作用"會中並發表論文</t>
  </si>
  <si>
    <t>前往菲律賓馬尼拉室舉行之"25th FAOBMB International Conference and 43rd PSBMB Annual Convention"會中發表口頭論文</t>
  </si>
  <si>
    <t>"國際腦科學研討會" 科技部邀請腦神經科學計畫辦公室主持人孫以瀚特聘研究員代表與會</t>
  </si>
  <si>
    <t>簡瑜赴義大利參加EBEC 2016-The 19th European Bioenergetics Conferencec 會中並發表論文</t>
  </si>
  <si>
    <t>計畫結餘款再運用-李秀敏老師</t>
  </si>
  <si>
    <t>105/03/06-105/03/15</t>
  </si>
  <si>
    <t>Galveston</t>
  </si>
  <si>
    <t>105/03/06-105/03/17</t>
  </si>
  <si>
    <t>計畫結餘款再運用-余淑美老師</t>
  </si>
  <si>
    <t>105/06/29-105/07/06</t>
  </si>
  <si>
    <t>計畫結餘款再運用-孔祥智老師</t>
  </si>
  <si>
    <t>105/10/29-105/11/09</t>
  </si>
  <si>
    <t>Charlotte 貝塞斯達(Bethesda, Maryland)</t>
  </si>
  <si>
    <t>計畫結餘款再運用-陳俊安老師</t>
  </si>
  <si>
    <t>計畫結餘款再運用-趙裕展老師</t>
  </si>
  <si>
    <t>前往美國德克薩斯州加爾維斯敦市舉行之"戈登研討會-蛋白質通過細胞膜系之運送"會中並發表論文</t>
  </si>
  <si>
    <t>前往瑞士Les Diablerets市舉行之"Gordon研討會:植物的高鹽及逆水逆境"會中並發表論文</t>
  </si>
  <si>
    <t>前往南韓慶州市舉行之"International Conference on Arabidopsis 2016"會中並發表論文</t>
  </si>
  <si>
    <t>前往美國北卡州Charlotte市舉行之"第67屆美國實驗動物學會年會"會後參訪美國國家衛生研究院及威廉保羅教授紀念研討會</t>
  </si>
  <si>
    <t>前往美國加州柏克萊市參加"2016 Cell Symposia:10 Years of iPSCs"會中並發表壁報論文</t>
  </si>
  <si>
    <t>前往大陸成都市舉行之"The 11th Biennial Conference of CBIS"會中並給予演講</t>
  </si>
  <si>
    <t>受邀參加大陸江西九江市舉行之"九江國際果蠅會議"會中並發表論文</t>
  </si>
  <si>
    <t>前往大陸九江市舉行之"九江國際果蠅會議"會中給予演講</t>
  </si>
  <si>
    <t>受邀前往大陸復旦大學參加"上海復旦大學腦科學研究院與德國萊布尼茲神經科學研究所聯合舉辦的第二屆研究工作坊"</t>
  </si>
  <si>
    <t>受邀前往香港城市大學參訪並發表演講,題目為"Dynamic regulation of microRNA expression during motor neuron differentiation"</t>
  </si>
  <si>
    <t>105/04/01-105/04/05</t>
  </si>
  <si>
    <t>受邀前往大陸上海市交通大學發表演講並進行學術交流</t>
  </si>
  <si>
    <r>
      <t xml:space="preserve">00026917
</t>
    </r>
    <r>
      <rPr>
        <sz val="10"/>
        <color indexed="8"/>
        <rFont val="細明體"/>
        <family val="3"/>
      </rPr>
      <t>報告於結案時一併繳交</t>
    </r>
  </si>
  <si>
    <r>
      <t xml:space="preserve">00027314
</t>
    </r>
    <r>
      <rPr>
        <sz val="10"/>
        <color indexed="8"/>
        <rFont val="細明體"/>
        <family val="3"/>
      </rPr>
      <t>報告於結案時一併繳交</t>
    </r>
  </si>
  <si>
    <r>
      <t xml:space="preserve">00028661
</t>
    </r>
    <r>
      <rPr>
        <sz val="10"/>
        <color indexed="8"/>
        <rFont val="細明體"/>
        <family val="3"/>
      </rPr>
      <t>報告於結案時一併繳交</t>
    </r>
  </si>
  <si>
    <r>
      <t xml:space="preserve">00028823
</t>
    </r>
    <r>
      <rPr>
        <sz val="10"/>
        <color indexed="8"/>
        <rFont val="細明體"/>
        <family val="3"/>
      </rPr>
      <t>報告於結案時一併繳交</t>
    </r>
  </si>
  <si>
    <r>
      <t xml:space="preserve">00028554
</t>
    </r>
    <r>
      <rPr>
        <sz val="10"/>
        <color indexed="8"/>
        <rFont val="細明體"/>
        <family val="3"/>
      </rPr>
      <t>報告於結案時一併繳交</t>
    </r>
  </si>
  <si>
    <r>
      <t xml:space="preserve">00027468
</t>
    </r>
    <r>
      <rPr>
        <sz val="8.5"/>
        <color indexed="8"/>
        <rFont val="細明體"/>
        <family val="3"/>
      </rPr>
      <t>私人機構經費無需繳交</t>
    </r>
    <r>
      <rPr>
        <sz val="8.5"/>
        <color indexed="8"/>
        <rFont val="Calibri"/>
        <family val="2"/>
      </rPr>
      <t>,</t>
    </r>
    <r>
      <rPr>
        <sz val="8.5"/>
        <color indexed="8"/>
        <rFont val="細明體"/>
        <family val="3"/>
      </rPr>
      <t>故無須提出報告</t>
    </r>
  </si>
  <si>
    <r>
      <t xml:space="preserve">00028780
</t>
    </r>
    <r>
      <rPr>
        <sz val="8.5"/>
        <color indexed="8"/>
        <rFont val="細明體"/>
        <family val="3"/>
      </rPr>
      <t>補助單位為民間企業未要求繳交</t>
    </r>
    <r>
      <rPr>
        <sz val="8.5"/>
        <color indexed="8"/>
        <rFont val="Calibri"/>
        <family val="2"/>
      </rPr>
      <t>,</t>
    </r>
    <r>
      <rPr>
        <sz val="8.5"/>
        <color indexed="8"/>
        <rFont val="細明體"/>
        <family val="3"/>
      </rPr>
      <t>故無須提出報告</t>
    </r>
  </si>
  <si>
    <r>
      <t xml:space="preserve">00028363
</t>
    </r>
    <r>
      <rPr>
        <sz val="8.5"/>
        <color indexed="8"/>
        <rFont val="細明體"/>
        <family val="3"/>
      </rPr>
      <t>計畫未結案併期末報告一併繳交</t>
    </r>
  </si>
  <si>
    <r>
      <t xml:space="preserve">00029592
</t>
    </r>
    <r>
      <rPr>
        <sz val="8.5"/>
        <color indexed="8"/>
        <rFont val="細明體"/>
        <family val="3"/>
      </rPr>
      <t>計畫尚未到期，報告尚未繳交</t>
    </r>
  </si>
  <si>
    <r>
      <t xml:space="preserve">00028507
</t>
    </r>
    <r>
      <rPr>
        <sz val="8.5"/>
        <color indexed="8"/>
        <rFont val="細明體"/>
        <family val="3"/>
      </rPr>
      <t>出國報告連同結案報告一併繳交</t>
    </r>
  </si>
  <si>
    <r>
      <t xml:space="preserve">00029693
</t>
    </r>
    <r>
      <rPr>
        <sz val="8.5"/>
        <color indexed="8"/>
        <rFont val="細明體"/>
        <family val="3"/>
      </rPr>
      <t>計畫尚未到期，報告尚未繳交</t>
    </r>
  </si>
  <si>
    <r>
      <t xml:space="preserve">00027711
</t>
    </r>
    <r>
      <rPr>
        <sz val="8.5"/>
        <color indexed="8"/>
        <rFont val="細明體"/>
        <family val="3"/>
      </rPr>
      <t>多年期計畫尚未結案併期末報告一併繳交</t>
    </r>
  </si>
  <si>
    <r>
      <t xml:space="preserve">00028128
</t>
    </r>
    <r>
      <rPr>
        <sz val="8.5"/>
        <color indexed="8"/>
        <rFont val="細明體"/>
        <family val="3"/>
      </rPr>
      <t>多年期計畫尚未結案併期末報告一併繳交</t>
    </r>
  </si>
  <si>
    <r>
      <t xml:space="preserve">00028128
</t>
    </r>
    <r>
      <rPr>
        <sz val="8.5"/>
        <color indexed="8"/>
        <rFont val="細明體"/>
        <family val="3"/>
      </rPr>
      <t>補助單位未要求繳交</t>
    </r>
    <r>
      <rPr>
        <sz val="8.5"/>
        <color indexed="8"/>
        <rFont val="Calibri"/>
        <family val="2"/>
      </rPr>
      <t>,</t>
    </r>
    <r>
      <rPr>
        <sz val="8.5"/>
        <color indexed="8"/>
        <rFont val="細明體"/>
        <family val="3"/>
      </rPr>
      <t>故無須提出報告</t>
    </r>
  </si>
  <si>
    <r>
      <t xml:space="preserve">00029285
</t>
    </r>
    <r>
      <rPr>
        <sz val="8.5"/>
        <color indexed="8"/>
        <rFont val="細明體"/>
        <family val="3"/>
      </rPr>
      <t>補助單位未要求繳交</t>
    </r>
    <r>
      <rPr>
        <sz val="8.5"/>
        <color indexed="8"/>
        <rFont val="Calibri"/>
        <family val="2"/>
      </rPr>
      <t>,</t>
    </r>
    <r>
      <rPr>
        <sz val="8.5"/>
        <color indexed="8"/>
        <rFont val="細明體"/>
        <family val="3"/>
      </rPr>
      <t>故無須提出報告</t>
    </r>
  </si>
  <si>
    <r>
      <t xml:space="preserve">00028693
</t>
    </r>
    <r>
      <rPr>
        <sz val="8.5"/>
        <color indexed="8"/>
        <rFont val="細明體"/>
        <family val="3"/>
      </rPr>
      <t>計畫未結案併期末報告一併繳交</t>
    </r>
  </si>
  <si>
    <r>
      <t xml:space="preserve">00029277
</t>
    </r>
    <r>
      <rPr>
        <sz val="8.5"/>
        <color indexed="8"/>
        <rFont val="細明體"/>
        <family val="3"/>
      </rPr>
      <t>補助單位未要求繳交</t>
    </r>
    <r>
      <rPr>
        <sz val="8.5"/>
        <color indexed="8"/>
        <rFont val="Calibri"/>
        <family val="2"/>
      </rPr>
      <t>,</t>
    </r>
    <r>
      <rPr>
        <sz val="8.5"/>
        <color indexed="8"/>
        <rFont val="細明體"/>
        <family val="3"/>
      </rPr>
      <t>故無須提出報告</t>
    </r>
  </si>
  <si>
    <t>00028855
報告於結案時一併繳交</t>
  </si>
  <si>
    <r>
      <t xml:space="preserve">00028513
</t>
    </r>
    <r>
      <rPr>
        <sz val="8.5"/>
        <color indexed="8"/>
        <rFont val="細明體"/>
        <family val="3"/>
      </rPr>
      <t>私人機構經費無需繳交</t>
    </r>
    <r>
      <rPr>
        <sz val="8.5"/>
        <color indexed="8"/>
        <rFont val="Calibri"/>
        <family val="2"/>
      </rPr>
      <t>,</t>
    </r>
    <r>
      <rPr>
        <sz val="8.5"/>
        <color indexed="8"/>
        <rFont val="細明體"/>
        <family val="3"/>
      </rPr>
      <t>故無須提出報告</t>
    </r>
  </si>
  <si>
    <r>
      <t xml:space="preserve">00029191
</t>
    </r>
    <r>
      <rPr>
        <sz val="8.5"/>
        <color indexed="8"/>
        <rFont val="細明體"/>
        <family val="3"/>
      </rPr>
      <t>計畫未結案併期末報告一併繳交</t>
    </r>
  </si>
  <si>
    <r>
      <t xml:space="preserve">00030637
</t>
    </r>
    <r>
      <rPr>
        <sz val="8.5"/>
        <color indexed="8"/>
        <rFont val="細明體"/>
        <family val="3"/>
      </rPr>
      <t>計畫未結案併期末報告一併繳交</t>
    </r>
  </si>
  <si>
    <r>
      <t xml:space="preserve">00030592
</t>
    </r>
    <r>
      <rPr>
        <sz val="8.5"/>
        <color indexed="8"/>
        <rFont val="細明體"/>
        <family val="3"/>
      </rPr>
      <t>計畫未結案併期末報告一併繳交</t>
    </r>
  </si>
  <si>
    <r>
      <t xml:space="preserve">00029980
</t>
    </r>
    <r>
      <rPr>
        <sz val="8.5"/>
        <color indexed="8"/>
        <rFont val="細明體"/>
        <family val="3"/>
      </rPr>
      <t>計畫未結案併期末報告一併繳交</t>
    </r>
  </si>
  <si>
    <r>
      <t xml:space="preserve">00030511
</t>
    </r>
    <r>
      <rPr>
        <sz val="8.5"/>
        <color indexed="8"/>
        <rFont val="細明體"/>
        <family val="3"/>
      </rPr>
      <t>計畫未結案併期末報告一併繳交</t>
    </r>
  </si>
  <si>
    <r>
      <t xml:space="preserve">00030508
</t>
    </r>
    <r>
      <rPr>
        <sz val="8.5"/>
        <color indexed="8"/>
        <rFont val="細明體"/>
        <family val="3"/>
      </rPr>
      <t>計畫未結案併期末報告一併繳交</t>
    </r>
  </si>
  <si>
    <r>
      <t xml:space="preserve">00031037
</t>
    </r>
    <r>
      <rPr>
        <sz val="8.5"/>
        <color indexed="8"/>
        <rFont val="細明體"/>
        <family val="3"/>
      </rPr>
      <t>計畫未結案併期末報告一併繳交</t>
    </r>
  </si>
  <si>
    <r>
      <t xml:space="preserve">00029436
</t>
    </r>
    <r>
      <rPr>
        <sz val="8.5"/>
        <color indexed="8"/>
        <rFont val="細明體"/>
        <family val="3"/>
      </rPr>
      <t>計畫未結案併期末報告一併繳交</t>
    </r>
  </si>
  <si>
    <r>
      <t xml:space="preserve">00031845
</t>
    </r>
    <r>
      <rPr>
        <sz val="8.5"/>
        <color indexed="8"/>
        <rFont val="細明體"/>
        <family val="3"/>
      </rPr>
      <t>計畫未結案併期末報告一併繳交</t>
    </r>
  </si>
  <si>
    <r>
      <t xml:space="preserve">00031524
</t>
    </r>
    <r>
      <rPr>
        <sz val="8.5"/>
        <color indexed="8"/>
        <rFont val="細明體"/>
        <family val="3"/>
      </rPr>
      <t>計畫未結案併期末報告一併繳交</t>
    </r>
  </si>
  <si>
    <r>
      <t xml:space="preserve">00032296
</t>
    </r>
    <r>
      <rPr>
        <sz val="8.5"/>
        <color indexed="8"/>
        <rFont val="細明體"/>
        <family val="3"/>
      </rPr>
      <t>計畫未結案併期末報告一併繳交</t>
    </r>
  </si>
  <si>
    <r>
      <t xml:space="preserve">00032637
</t>
    </r>
    <r>
      <rPr>
        <sz val="8.5"/>
        <color indexed="8"/>
        <rFont val="細明體"/>
        <family val="3"/>
      </rPr>
      <t>計畫未結案併期末報告一併繳交</t>
    </r>
  </si>
  <si>
    <r>
      <t xml:space="preserve">00032623
</t>
    </r>
    <r>
      <rPr>
        <sz val="8.5"/>
        <color indexed="8"/>
        <rFont val="細明體"/>
        <family val="3"/>
      </rPr>
      <t>計畫未結案併期末報告一併繳交</t>
    </r>
  </si>
  <si>
    <r>
      <t xml:space="preserve">00032633
</t>
    </r>
    <r>
      <rPr>
        <sz val="8.5"/>
        <color indexed="8"/>
        <rFont val="細明體"/>
        <family val="3"/>
      </rPr>
      <t>計畫未結案併期末報告一併繳交</t>
    </r>
  </si>
  <si>
    <r>
      <t xml:space="preserve">00033135
</t>
    </r>
    <r>
      <rPr>
        <sz val="8.5"/>
        <color indexed="8"/>
        <rFont val="細明體"/>
        <family val="3"/>
      </rPr>
      <t>計畫未結案併期末報告一併繳交</t>
    </r>
  </si>
  <si>
    <r>
      <t xml:space="preserve">00032382
</t>
    </r>
    <r>
      <rPr>
        <sz val="8.5"/>
        <color indexed="8"/>
        <rFont val="細明體"/>
        <family val="3"/>
      </rPr>
      <t>補助單位未要求繳交</t>
    </r>
    <r>
      <rPr>
        <sz val="8.5"/>
        <color indexed="8"/>
        <rFont val="Calibri"/>
        <family val="2"/>
      </rPr>
      <t>,</t>
    </r>
    <r>
      <rPr>
        <sz val="8.5"/>
        <color indexed="8"/>
        <rFont val="細明體"/>
        <family val="3"/>
      </rPr>
      <t>故無須提出報告</t>
    </r>
  </si>
  <si>
    <r>
      <t xml:space="preserve">00032752
</t>
    </r>
    <r>
      <rPr>
        <sz val="8.5"/>
        <color indexed="8"/>
        <rFont val="細明體"/>
        <family val="3"/>
      </rPr>
      <t>計畫未結案併期末報告一併繳交</t>
    </r>
  </si>
  <si>
    <r>
      <t xml:space="preserve">00032752
</t>
    </r>
    <r>
      <rPr>
        <sz val="8.5"/>
        <color indexed="8"/>
        <rFont val="細明體"/>
        <family val="3"/>
      </rPr>
      <t>私人機構經費無需繳交</t>
    </r>
    <r>
      <rPr>
        <sz val="8.5"/>
        <color indexed="8"/>
        <rFont val="Calibri"/>
        <family val="2"/>
      </rPr>
      <t>,</t>
    </r>
    <r>
      <rPr>
        <sz val="8.5"/>
        <color indexed="8"/>
        <rFont val="細明體"/>
        <family val="3"/>
      </rPr>
      <t>故無須提出報告</t>
    </r>
  </si>
  <si>
    <r>
      <t xml:space="preserve">00031713
</t>
    </r>
    <r>
      <rPr>
        <sz val="8.5"/>
        <color indexed="8"/>
        <rFont val="細明體"/>
        <family val="3"/>
      </rPr>
      <t>計畫未結案併期末報告一併繳交</t>
    </r>
  </si>
  <si>
    <r>
      <t xml:space="preserve">00031421
</t>
    </r>
    <r>
      <rPr>
        <sz val="8.5"/>
        <color indexed="8"/>
        <rFont val="細明體"/>
        <family val="3"/>
      </rPr>
      <t>計畫未結案併期末報告一併繳交</t>
    </r>
  </si>
  <si>
    <t>E509情境驅動之多分析模型運用邏輯與架構研究</t>
  </si>
  <si>
    <t>國內差旅費</t>
  </si>
  <si>
    <t>104/11/16</t>
  </si>
  <si>
    <t>新竹</t>
  </si>
  <si>
    <t>104/11/20-22</t>
  </si>
  <si>
    <t>台南</t>
  </si>
  <si>
    <t>三級科目錯誤於105/1調整</t>
  </si>
  <si>
    <t>張原豪老師計畫結餘款－2015 Frontier of Information Storage and Design Automation Technologies Workshop</t>
  </si>
  <si>
    <t>104/05/08-104/05/12</t>
  </si>
  <si>
    <t>中國大陸(China)</t>
  </si>
  <si>
    <t>西安(Xian)</t>
  </si>
  <si>
    <r>
      <t xml:space="preserve">00029797
</t>
    </r>
    <r>
      <rPr>
        <sz val="8"/>
        <color indexed="8"/>
        <rFont val="細明體"/>
        <family val="3"/>
      </rPr>
      <t>私人機構經費無需繳交</t>
    </r>
    <r>
      <rPr>
        <sz val="8"/>
        <color indexed="8"/>
        <rFont val="Calibri"/>
        <family val="2"/>
      </rPr>
      <t>,</t>
    </r>
    <r>
      <rPr>
        <sz val="8"/>
        <color indexed="8"/>
        <rFont val="細明體"/>
        <family val="3"/>
      </rPr>
      <t>故無須提出報告</t>
    </r>
  </si>
  <si>
    <r>
      <t xml:space="preserve">00029336
</t>
    </r>
    <r>
      <rPr>
        <sz val="8.5"/>
        <color indexed="8"/>
        <rFont val="細明體"/>
        <family val="3"/>
      </rPr>
      <t>計畫未結案併期末報告一併繳交</t>
    </r>
  </si>
  <si>
    <r>
      <t xml:space="preserve">00030165
</t>
    </r>
    <r>
      <rPr>
        <sz val="8.5"/>
        <color indexed="8"/>
        <rFont val="細明體"/>
        <family val="3"/>
      </rPr>
      <t>計畫未結案併期末報告一併繳交</t>
    </r>
  </si>
  <si>
    <r>
      <t xml:space="preserve">00026917
</t>
    </r>
    <r>
      <rPr>
        <sz val="8"/>
        <color indexed="8"/>
        <rFont val="細明體"/>
        <family val="3"/>
      </rPr>
      <t>私人機構經費無需繳交</t>
    </r>
    <r>
      <rPr>
        <sz val="8"/>
        <color indexed="8"/>
        <rFont val="Calibri"/>
        <family val="2"/>
      </rPr>
      <t>,</t>
    </r>
    <r>
      <rPr>
        <sz val="8"/>
        <color indexed="8"/>
        <rFont val="細明體"/>
        <family val="3"/>
      </rPr>
      <t>故無須提出報告</t>
    </r>
  </si>
  <si>
    <r>
      <t xml:space="preserve">00031606
</t>
    </r>
    <r>
      <rPr>
        <sz val="8.5"/>
        <color indexed="8"/>
        <rFont val="細明體"/>
        <family val="3"/>
      </rPr>
      <t>計畫未結案併期末報告一併繳交</t>
    </r>
  </si>
  <si>
    <t>李德財老師計畫結餘款－美國訪問</t>
  </si>
  <si>
    <t>紐約市(New York,New York) 華盛頓特區(Washington)</t>
  </si>
  <si>
    <t>王柏堯老師計畫結餘款再運用－Program on Automata, Logic and Games</t>
  </si>
  <si>
    <t>105/08/28-105/09/02</t>
  </si>
  <si>
    <t>赴美受邀訪問。</t>
  </si>
  <si>
    <t>受邀訪問並給予演講。</t>
  </si>
  <si>
    <t>許聞廉老師計畫結餘款－COLING 2016</t>
  </si>
  <si>
    <t>出席國際會議。</t>
  </si>
  <si>
    <t>105/12/13-105/12/20</t>
  </si>
  <si>
    <t>日本(Japan)</t>
  </si>
  <si>
    <t>大阪(Osaka)</t>
  </si>
  <si>
    <t>莊庭瑞老師計畫結餘款再運用－CKANCon &amp; IODC 16</t>
  </si>
  <si>
    <t>出席國際會議並發表論文。</t>
  </si>
  <si>
    <t>105/10/02-105/10/09</t>
  </si>
  <si>
    <t>西班牙(Spain)</t>
  </si>
  <si>
    <t>馬德里(Madrid)</t>
  </si>
  <si>
    <t>莊庭瑞老師計畫結餘款－ACM SIGSPATIAL 2016</t>
  </si>
  <si>
    <t>105/10/30-105/11/07</t>
  </si>
  <si>
    <t>美國(U.S.A.)</t>
  </si>
  <si>
    <t>徐讚昇老師計畫結餘款-CG2016</t>
  </si>
  <si>
    <t>出席國際會議並參加程式比賽。</t>
  </si>
  <si>
    <t>105/06/25-105/07/05</t>
  </si>
  <si>
    <t>荷蘭(Netherlands)</t>
  </si>
  <si>
    <t>來登</t>
  </si>
  <si>
    <t>陳孟彰老師計畫結餘款－ICALT2016</t>
  </si>
  <si>
    <t>出席國際會議並發表論文。ICALT2016</t>
  </si>
  <si>
    <t>105/07/23-105/08/02</t>
  </si>
  <si>
    <t>奧斯丁(Austin, Texas)</t>
  </si>
  <si>
    <t>許聞廉老師結餘款再運用－APBC 2016</t>
  </si>
  <si>
    <t>105/01/07-105/01/15</t>
  </si>
  <si>
    <t>陳伶志老師計畫結餘款－MobiSys會議</t>
  </si>
  <si>
    <t>出席國際會議並發表論文。(MobiSys)</t>
  </si>
  <si>
    <t>105/06/26-105/06/29</t>
  </si>
  <si>
    <t>黃文良老師計畫結餘款-2016 3D研究合作會議</t>
  </si>
  <si>
    <t>出席國際會議並發表論文。CC3DMR</t>
  </si>
  <si>
    <t>105/06/19-105/06/24</t>
  </si>
  <si>
    <t>南韓(Korea)</t>
  </si>
  <si>
    <t>陳孟彰老師計畫結餘款再運用</t>
  </si>
  <si>
    <t>105/04/15-105/04/28</t>
  </si>
  <si>
    <t>英國(United Kingdom)</t>
  </si>
  <si>
    <t>施純傑老師計畫結餘款-2016歐洲計算生物學會議</t>
  </si>
  <si>
    <t>105/09/02-105/09/08</t>
  </si>
  <si>
    <t>蔡懁寬老師計畫結餘款再運用－RECOMB/ISCB聯合會議</t>
  </si>
  <si>
    <t>105/11/05-105/11/16</t>
  </si>
  <si>
    <t>王新民老師計畫結餄款－Interspeech 2016</t>
  </si>
  <si>
    <t>出席國際會議並發表論文。Interspeech</t>
  </si>
  <si>
    <t>105/09/07-105/09/14</t>
  </si>
  <si>
    <t>張原豪老師計畫結餘款-the 53th ACM/EDAC/IEEE Design Automation Conference</t>
  </si>
  <si>
    <t>105/06/04-105/06/11</t>
  </si>
  <si>
    <t>楊柏因老師結餘款再運用－密碼學相關會議</t>
  </si>
  <si>
    <t>受邀出席亞洲密碼學會議(Asiacrypt)指導委員會諮詢會議及CHES 2016指導委員會諮詢會議等。</t>
  </si>
  <si>
    <t>105/08/08-105/08/24</t>
  </si>
  <si>
    <t>Cincinnati</t>
  </si>
  <si>
    <t>楊得年老師計畫結餘款－IJCAI 2016</t>
  </si>
  <si>
    <t>出席國際會議並擔任Session Chairman</t>
  </si>
  <si>
    <t>105/07/11-105/07/16</t>
  </si>
  <si>
    <t>李德財老師計畫結餘款－執行國合計畫及洽談合作事宜</t>
  </si>
  <si>
    <t>陳孟彰老師計畫結餘款-Congestion Control Mechanisms in SDN-based 5G network</t>
  </si>
  <si>
    <t>赴美國伊利諾伊大學厄巴納-香檳分校進行研究</t>
  </si>
  <si>
    <t>105/07/24-105/09/19</t>
  </si>
  <si>
    <t>厄巴納-香檳市</t>
  </si>
  <si>
    <t xml:space="preserve">00024422為結案後會計事項，誤入三級科目 </t>
  </si>
  <si>
    <r>
      <t xml:space="preserve">00024251
</t>
    </r>
    <r>
      <rPr>
        <sz val="7"/>
        <color indexed="8"/>
        <rFont val="細明體"/>
        <family val="3"/>
      </rPr>
      <t>為配合年度結束作業提早繳交報告</t>
    </r>
  </si>
  <si>
    <t>00029959</t>
  </si>
  <si>
    <r>
      <t xml:space="preserve">00027471
</t>
    </r>
    <r>
      <rPr>
        <sz val="10"/>
        <color indexed="8"/>
        <rFont val="細明體"/>
        <family val="3"/>
      </rPr>
      <t>報告於結案時一併繳交</t>
    </r>
  </si>
  <si>
    <r>
      <t xml:space="preserve">00027525
</t>
    </r>
    <r>
      <rPr>
        <sz val="10"/>
        <color indexed="8"/>
        <rFont val="細明體"/>
        <family val="3"/>
      </rPr>
      <t>報告於結案時一併繳交</t>
    </r>
  </si>
  <si>
    <r>
      <t xml:space="preserve">00027025
</t>
    </r>
    <r>
      <rPr>
        <sz val="10"/>
        <color indexed="8"/>
        <rFont val="細明體"/>
        <family val="3"/>
      </rPr>
      <t>報告於結案時一併繳交</t>
    </r>
  </si>
  <si>
    <r>
      <t xml:space="preserve">00027435
</t>
    </r>
    <r>
      <rPr>
        <sz val="10"/>
        <color indexed="8"/>
        <rFont val="細明體"/>
        <family val="3"/>
      </rPr>
      <t>報告於結案時一併繳交</t>
    </r>
  </si>
  <si>
    <r>
      <t xml:space="preserve">00026903
</t>
    </r>
    <r>
      <rPr>
        <sz val="10"/>
        <color indexed="8"/>
        <rFont val="細明體"/>
        <family val="3"/>
      </rPr>
      <t>報告於結案時一併繳交</t>
    </r>
  </si>
  <si>
    <r>
      <t xml:space="preserve">00029325
</t>
    </r>
    <r>
      <rPr>
        <sz val="8"/>
        <color indexed="8"/>
        <rFont val="細明體"/>
        <family val="3"/>
      </rPr>
      <t>私人機構經費無需繳交</t>
    </r>
    <r>
      <rPr>
        <sz val="8"/>
        <color indexed="8"/>
        <rFont val="Calibri"/>
        <family val="2"/>
      </rPr>
      <t>,</t>
    </r>
    <r>
      <rPr>
        <sz val="8"/>
        <color indexed="8"/>
        <rFont val="細明體"/>
        <family val="3"/>
      </rPr>
      <t>故無須提出報告</t>
    </r>
  </si>
  <si>
    <r>
      <t xml:space="preserve">00029307
</t>
    </r>
    <r>
      <rPr>
        <sz val="8"/>
        <color indexed="8"/>
        <rFont val="細明體"/>
        <family val="3"/>
      </rPr>
      <t>私人機構經費無需繳交</t>
    </r>
    <r>
      <rPr>
        <sz val="8"/>
        <color indexed="8"/>
        <rFont val="Calibri"/>
        <family val="2"/>
      </rPr>
      <t>,</t>
    </r>
    <r>
      <rPr>
        <sz val="8"/>
        <color indexed="8"/>
        <rFont val="細明體"/>
        <family val="3"/>
      </rPr>
      <t>故無須提出報告</t>
    </r>
  </si>
  <si>
    <r>
      <t xml:space="preserve">00032921
</t>
    </r>
    <r>
      <rPr>
        <sz val="8"/>
        <color indexed="8"/>
        <rFont val="細明體"/>
        <family val="3"/>
      </rPr>
      <t>私人機構經費無需繳交</t>
    </r>
    <r>
      <rPr>
        <sz val="8"/>
        <color indexed="8"/>
        <rFont val="Calibri"/>
        <family val="2"/>
      </rPr>
      <t>,</t>
    </r>
    <r>
      <rPr>
        <sz val="8"/>
        <color indexed="8"/>
        <rFont val="細明體"/>
        <family val="3"/>
      </rPr>
      <t>故無須提出報告</t>
    </r>
  </si>
  <si>
    <t>參訪西安電子科技大學並出席兩岸5G合作工作會議</t>
  </si>
  <si>
    <t>00022280
三級科目錯誤於105/1調整</t>
  </si>
  <si>
    <t>張原豪老師計畫結餘款－Asia and South Pacific Design Automation Conference</t>
  </si>
  <si>
    <t>張原豪老師計畫結餘款－GPC-2016</t>
  </si>
  <si>
    <r>
      <t xml:space="preserve">00022895
</t>
    </r>
    <r>
      <rPr>
        <sz val="9"/>
        <color indexed="8"/>
        <rFont val="細明體"/>
        <family val="3"/>
      </rPr>
      <t>三級科目錯誤於</t>
    </r>
    <r>
      <rPr>
        <sz val="9"/>
        <color indexed="8"/>
        <rFont val="Calibri"/>
        <family val="2"/>
      </rPr>
      <t>105/1</t>
    </r>
    <r>
      <rPr>
        <sz val="9"/>
        <color indexed="8"/>
        <rFont val="細明體"/>
        <family val="3"/>
      </rPr>
      <t>調整</t>
    </r>
  </si>
  <si>
    <t>00033226
計畫未結案併期末報告一併繳交</t>
  </si>
  <si>
    <t>00021898發文至科技部結案，科技部回文告知應繳回正確數，沒有列104年度應付帳款於105年1月轉正</t>
  </si>
  <si>
    <t>00022895
三級科目錯誤於105/1調整</t>
  </si>
  <si>
    <t>00022280
三級科目錯誤於105/1調整</t>
  </si>
  <si>
    <t>為執行科技部補助之「台灣新石器時代至現代早期的海洋樣貌」（台法幽蘭計畫－雙邊研討會），出席本所及法國遠東學院等單位在巴黎舉辦國際學術研討會，並發表專題演講及論文。</t>
  </si>
  <si>
    <r>
      <rPr>
        <sz val="8"/>
        <color indexed="8"/>
        <rFont val="細明體"/>
        <family val="3"/>
      </rPr>
      <t>參與</t>
    </r>
    <r>
      <rPr>
        <sz val="8"/>
        <color indexed="8"/>
        <rFont val="Calibri"/>
        <family val="2"/>
      </rPr>
      <t>2016</t>
    </r>
    <r>
      <rPr>
        <sz val="8"/>
        <color indexed="8"/>
        <rFont val="細明體"/>
        <family val="3"/>
      </rPr>
      <t>年度</t>
    </r>
    <r>
      <rPr>
        <sz val="8"/>
        <color indexed="8"/>
        <rFont val="Calibri"/>
        <family val="2"/>
      </rPr>
      <t>DCMI(Dublin Core® Metadata Initiative)</t>
    </r>
    <r>
      <rPr>
        <sz val="8"/>
        <color indexed="8"/>
        <rFont val="細明體"/>
        <family val="3"/>
      </rPr>
      <t>會議並共同發表論文，同時參與</t>
    </r>
    <r>
      <rPr>
        <sz val="8"/>
        <color indexed="8"/>
        <rFont val="Calibri"/>
        <family val="2"/>
      </rPr>
      <t xml:space="preserve">ASIS&amp;T </t>
    </r>
    <r>
      <rPr>
        <sz val="8"/>
        <color indexed="8"/>
        <rFont val="細明體"/>
        <family val="3"/>
      </rPr>
      <t>（</t>
    </r>
    <r>
      <rPr>
        <sz val="8"/>
        <color indexed="8"/>
        <rFont val="Calibri"/>
        <family val="2"/>
      </rPr>
      <t>Association for Information Science and Technology</t>
    </r>
    <r>
      <rPr>
        <sz val="8"/>
        <color indexed="8"/>
        <rFont val="細明體"/>
        <family val="3"/>
      </rPr>
      <t>）</t>
    </r>
    <r>
      <rPr>
        <sz val="8"/>
        <color indexed="8"/>
        <rFont val="Calibri"/>
        <family val="2"/>
      </rPr>
      <t>2016</t>
    </r>
    <r>
      <rPr>
        <sz val="8"/>
        <color indexed="8"/>
        <rFont val="細明體"/>
        <family val="3"/>
      </rPr>
      <t>年年會。</t>
    </r>
  </si>
  <si>
    <r>
      <t xml:space="preserve">00032615
</t>
    </r>
    <r>
      <rPr>
        <sz val="8.5"/>
        <rFont val="細明體"/>
        <family val="3"/>
      </rPr>
      <t>辦理結案中</t>
    </r>
    <r>
      <rPr>
        <sz val="8.5"/>
        <rFont val="Calibri"/>
        <family val="2"/>
      </rPr>
      <t>,</t>
    </r>
    <r>
      <rPr>
        <sz val="8.5"/>
        <rFont val="細明體"/>
        <family val="3"/>
      </rPr>
      <t>併結案報告一併繳交。</t>
    </r>
  </si>
  <si>
    <r>
      <t xml:space="preserve">00029807
</t>
    </r>
    <r>
      <rPr>
        <sz val="8.5"/>
        <rFont val="細明體"/>
        <family val="3"/>
      </rPr>
      <t>辦理結案中</t>
    </r>
    <r>
      <rPr>
        <sz val="8.5"/>
        <rFont val="Calibri"/>
        <family val="2"/>
      </rPr>
      <t>,</t>
    </r>
    <r>
      <rPr>
        <sz val="8.5"/>
        <rFont val="細明體"/>
        <family val="3"/>
      </rPr>
      <t>併結案報告一併繳交。</t>
    </r>
  </si>
  <si>
    <r>
      <t xml:space="preserve">00032445
</t>
    </r>
    <r>
      <rPr>
        <sz val="8.5"/>
        <rFont val="細明體"/>
        <family val="3"/>
      </rPr>
      <t>辦理結案中</t>
    </r>
    <r>
      <rPr>
        <sz val="8.5"/>
        <rFont val="Calibri"/>
        <family val="2"/>
      </rPr>
      <t>,</t>
    </r>
    <r>
      <rPr>
        <sz val="8.5"/>
        <rFont val="細明體"/>
        <family val="3"/>
      </rPr>
      <t>併結案報告一併繳交。</t>
    </r>
  </si>
  <si>
    <t>因執行科技部計畫「韓雅各在中國的醫療傳教事業」需要，前往英國倫敦The Wellcome Library及School of Oriental and African Studies Library蒐集資料。</t>
  </si>
  <si>
    <t>因執行科技部補助計畫「嚴元照學行研究」需要，前往東京靜嘉文庫訪查嚴元照相關傳記資料。</t>
  </si>
  <si>
    <t>規劃考察美國華盛頓特區與紐約具代表性之博物館與美術館，透過不同類型與典藏主題博物館之觀察比較、傳統與數位策展之模式及呈現手法等，了解策展邏輯、運用數位科技展現藏品內涵與敘事脈絡，作為未來借鏡。</t>
  </si>
  <si>
    <t>因執行科技部計畫「透過來源分析來尋找古代社會網絡：由新喀里多尼亞的Lapita遺址群談起」需要，前往美國亞歷桑那大學進行岩相切片分析工作。</t>
  </si>
  <si>
    <t>因執行科計部計畫「隋代墓葬圖像研究」需要，前往紐約大都會博物館、華美協進社中國美術館等處蒐集資料。</t>
  </si>
  <si>
    <t>因執行科技部計畫「隋代墓葬圖像研究」需要，前往東京東洋文庫等處蒐集資料。</t>
  </si>
  <si>
    <t>因執行科技部計畫「安陽殷墟青銅器陶範製作法的研究」需要，赴京都泉屋博物館蒐集資料。</t>
  </si>
  <si>
    <t>因執行科技部「台灣原住民傳世銅器的研究」計畫需要，前往日本東京國立博物館、東京大學考古教研室與人類學系等處進行台灣原住民文物觀察及分析工作。</t>
  </si>
  <si>
    <t>因執行科技部專書寫作計畫「亞當史密斯及其世界」及個人研究計畫「英國啟蒙運動與工業革命」需要，前往倫敦大英圖書館、維多利亞與艾伯特博物館、阿姆斯特丹國家博物館、德勒斯登美術館、麥森瓷器博物館等處蒐集資料。</t>
  </si>
  <si>
    <t>因執行科技部計畫「發現東方無意識：二十世紀上半葉日本的心理治療」需要，前往大阪日本國會圖書館關西館、京都大學及京都日本文化研究中心等機構蒐集研究資料。</t>
  </si>
  <si>
    <t>為執行蔣經國國際學術交流基金會補助之「由新喀里多尼亞Lapita陶器流傳模式來研究史前南島語族群體之社會網絡」計畫，赴大洋洲法屬新喀里多尼亞進行考古田野工作。</t>
  </si>
  <si>
    <t>為執行蔣基會補助計畫「由新喀里多尼亞Lapita陶器流傳模式來研究史前南島語族群體之社會網絡」，隨同計畫主持人邱斯嘉女士前往新喀里多尼亞，協助進行考古田野工作。</t>
  </si>
  <si>
    <r>
      <t xml:space="preserve">00030868
</t>
    </r>
    <r>
      <rPr>
        <sz val="7"/>
        <rFont val="細明體"/>
        <family val="3"/>
      </rPr>
      <t>補助單位為民間企業未要求繳交，故無須提出報告。</t>
    </r>
  </si>
  <si>
    <r>
      <t xml:space="preserve">00030869
</t>
    </r>
    <r>
      <rPr>
        <sz val="7"/>
        <rFont val="細明體"/>
        <family val="3"/>
      </rPr>
      <t>補助單位為民間企業未要求繳交，故無須提出報告。</t>
    </r>
  </si>
  <si>
    <t>Desert Archaeology, Inc.器物實驗分析暨亞歷桑納大學人類學院、加州大學洛杉磯分校人類學系參訪計畫</t>
  </si>
  <si>
    <t>105/05/11-105/05/26</t>
  </si>
  <si>
    <t>土桑(Tucson) 洛杉磯(Los Angeles,California)</t>
  </si>
  <si>
    <t>前往美國土桑市Desert Archaeology, Inc.商請Jenny Adams 博士，協助進行手持式砥石的實驗分析，並赴亞歷桑納大學人類學院參訪、蒐集研究資料。另與John Olsen教授討論學術研究合作計畫事宜；轉往加州大學洛杉磯分校參訪及蒐集資料。</t>
  </si>
  <si>
    <t>文武交際：明代文士武人的勢力消長、交往關係與知識流通_MOST 103-2410-H-001-021-</t>
  </si>
  <si>
    <t>因執行科技部計畫「文武交際：明代文士武人的勢力消長、交往關係與知識流通」需要，前往長春東北師範大學參加「明代的邊疆問題與東亞秩序」國際學術研討會，並發表論文。會議前後順便於該校蒐集資料。</t>
  </si>
  <si>
    <t>亞洲佛教藝術圖典與知識系統之建構－佛教石刻造像碑圖文分析知識系統_MOST 105-2420-H-001-014</t>
  </si>
  <si>
    <t>因執行科技部計畫需要，前往北京房山雲居寺，參加「紀念房山石經刊刻與雲居寺創建1400周年國際學術研討會」，並發表論文；會後順道赴北京大學圖書館蒐集研究資料。</t>
  </si>
  <si>
    <t>秦漢帝國的文書行政制度_MOST 104-2410-H-001-025-MY3</t>
  </si>
  <si>
    <t>原訂前往中國湖南省龍山縣里耶鎮參加「里耶秦簡與秦文化國際學術研討會」，並發表論文；後因湖南省龍山縣里耶鎮發生豪大雨，造成洪水及土石流等災害，主辦單位取消會議，產生機票退票手續費。</t>
  </si>
  <si>
    <t>書札史料與清代學術研究_MOST 105-2410-H-001-097</t>
  </si>
  <si>
    <t>陶寺文化、二里頭文化與殷墟文化的聚落形態比較研究_MOST 103-2410-H-001-034-MY3</t>
  </si>
  <si>
    <t>因執行科技部「陶寺文化、二里頭文化與殷墟文化的聚落形態比較研究」計畫需要，前往湖北省京山縣參加「曾國考古發現與研究暨紀念蘇家壟出土曾國青銅器五十周年國際學術研討會」，並發表論文。</t>
  </si>
  <si>
    <t>因執行科技部計畫「新見甲骨文字研究與增補」需要，前往北京清華大學參加「中國古文字研究會第二十一屆年會」，並發表論文。會後赴首都師範大學甲骨文研究中心考察該中心進行之甲骨文研究相關課題。</t>
  </si>
  <si>
    <r>
      <rPr>
        <sz val="8.5"/>
        <color indexed="8"/>
        <rFont val="細明體"/>
        <family val="3"/>
      </rPr>
      <t>因執行科技部計畫「秦漢帝國的文書行政制度」需要，前往香港中文大學出席「簡牘與戰國秦漢歷史：中國簡帛學國際論壇</t>
    </r>
    <r>
      <rPr>
        <sz val="8.5"/>
        <color indexed="8"/>
        <rFont val="Calibri"/>
        <family val="2"/>
      </rPr>
      <t>2016</t>
    </r>
    <r>
      <rPr>
        <sz val="8.5"/>
        <color indexed="8"/>
        <rFont val="細明體"/>
        <family val="3"/>
      </rPr>
      <t>」，並發表論文。</t>
    </r>
  </si>
  <si>
    <t>因執行科技部計畫「書札史料與清代學術研究」需要，前往廣州中山大學參加「2016年中文古籍整理與版本目錄學國際學術研討會」，並發表論文。</t>
  </si>
  <si>
    <r>
      <t xml:space="preserve">00029984
</t>
    </r>
    <r>
      <rPr>
        <sz val="8.5"/>
        <color indexed="8"/>
        <rFont val="細明體"/>
        <family val="3"/>
      </rPr>
      <t>因研究工作繁忙致報告延遲繳交。</t>
    </r>
  </si>
  <si>
    <r>
      <t xml:space="preserve">00033045
</t>
    </r>
    <r>
      <rPr>
        <sz val="8.5"/>
        <color indexed="8"/>
        <rFont val="細明體"/>
        <family val="3"/>
      </rPr>
      <t>計畫尚未到期，報告尚未繳交。</t>
    </r>
  </si>
  <si>
    <r>
      <t xml:space="preserve">00029650
</t>
    </r>
    <r>
      <rPr>
        <sz val="8.5"/>
        <color indexed="8"/>
        <rFont val="細明體"/>
        <family val="3"/>
      </rPr>
      <t>因會議取消未出國，不需繳交報告。</t>
    </r>
  </si>
  <si>
    <t>應北京中國人民大學歷史學院邀請，出席「言殊同：差異與當下歷史寫作」國際學術研討會並發表主題演講；因執行科技部計畫需要，於北京大學、中央民族大學、昆明等處蒐集資料並赴昆明參加「檔案與少數民族社會記憶」學術研討會。</t>
  </si>
  <si>
    <r>
      <t xml:space="preserve">00029013
</t>
    </r>
    <r>
      <rPr>
        <sz val="8.5"/>
        <color indexed="8"/>
        <rFont val="細明體"/>
        <family val="3"/>
      </rPr>
      <t>因研究工作繁忙致報告延遲繳交。</t>
    </r>
  </si>
  <si>
    <r>
      <t xml:space="preserve">00030288
</t>
    </r>
    <r>
      <rPr>
        <sz val="8.5"/>
        <color indexed="8"/>
        <rFont val="細明體"/>
        <family val="3"/>
      </rPr>
      <t>因研究工作繁忙致報告延遲繳交。</t>
    </r>
  </si>
  <si>
    <r>
      <t xml:space="preserve">00028643
</t>
    </r>
    <r>
      <rPr>
        <sz val="8.5"/>
        <color indexed="8"/>
        <rFont val="細明體"/>
        <family val="3"/>
      </rPr>
      <t>辦理結案中</t>
    </r>
    <r>
      <rPr>
        <sz val="8.5"/>
        <color indexed="8"/>
        <rFont val="Calibri"/>
        <family val="2"/>
      </rPr>
      <t>,</t>
    </r>
    <r>
      <rPr>
        <sz val="8.5"/>
        <color indexed="8"/>
        <rFont val="細明體"/>
        <family val="3"/>
      </rPr>
      <t>併結案報告一併繳交。</t>
    </r>
  </si>
  <si>
    <r>
      <t xml:space="preserve">00031938
</t>
    </r>
    <r>
      <rPr>
        <sz val="8.5"/>
        <color indexed="8"/>
        <rFont val="細明體"/>
        <family val="3"/>
      </rPr>
      <t>計畫尚未到期，報告尚未繳交。</t>
    </r>
  </si>
  <si>
    <t>因執行科技部「陶寺文化、二里頭文化與殷墟文化的聚落形態比較研究」計畫需要，前往湖北省博物館、荊州市博物館、隨州市博物等處參訪及研究。</t>
  </si>
  <si>
    <t>因執行科技部計畫「王權的歷史論：帝制中國『先代帝王祭祀』地點之考察」計畫需要，前往西安調查漢、唐帝陵在明、清之祭祀碑，並赴碑林博物館、陝西省圖書館、陝西省檔案館等地蒐集研究資料。</t>
  </si>
  <si>
    <t>出席世界人類學會聯合會代表會議與世界人類學與民族學學會會議</t>
  </si>
  <si>
    <t>主持科技部人文行遠專書寫作計畫，並發表論文。參加WCAA雙年會及IUAES期中會。</t>
  </si>
  <si>
    <t>出席國際會議發表計畫研究成果</t>
  </si>
  <si>
    <t>參加Pacific History Association年會發表論文。接續參加第12屆Festival of Pacific Arts的田野調查。地點都在關島，這是由太平洋27個國家聯合輪流主辦的文化活動，本人將參加與本計畫占卜治病相關，由太平洋各族群所舉辦的治病儀式活動、論壇 、工作坊與研討會。</t>
  </si>
  <si>
    <t>參與2016世界人類學與民族學年會</t>
  </si>
  <si>
    <t>赴日本基金會與麻風博物館進行田野調查訪問</t>
  </si>
  <si>
    <t>參加會議並發表研究相關研究論文。</t>
  </si>
  <si>
    <t>前往雪梨大學參加Australian Anthropological Society (AAS) 2016 Annual Conference並發表論文</t>
  </si>
  <si>
    <t>此次出席之第31屆國際心理學研討會與第23屆跨文化心理學國際學術研討，將各發表一篇論文，與筆者進行之專題計畫「權與角力：夫妻間之權力與互動歷程探討」（MOST 103-2410-H-001-057-SS2)息息相關。</t>
  </si>
  <si>
    <t>計畫主持人偕同其他合作主持人（Anna Stirr與蔡燦煌）共同籌組專題小組，發表目前執行蔣基會計畫之階段成果，題目為 “The Revolutionary Body: Music, Dance and Cultural Revolution Beyond China’s Borders”</t>
  </si>
  <si>
    <t>2016國際民族音樂學會年會（The Society for Ethnomusicology,SEM），為每年世界各民族音樂學者參與的重要會議之一。</t>
  </si>
  <si>
    <t>赴日本北海道大學參加2016東亞人類學年會</t>
  </si>
  <si>
    <t>１.　德州大學演講。　 ２.　參加美國人類學年會，並且發表論文。</t>
  </si>
  <si>
    <t>參與2016年非洲研究協會舉辦的年度會議 (59th Annual Meeting of the ASA)，並在會議中發表論文。發表文章為Singing Peace and Protest in Guinea，探討中國文革在非洲的影響。</t>
  </si>
  <si>
    <r>
      <t xml:space="preserve">00028888
</t>
    </r>
    <r>
      <rPr>
        <sz val="6"/>
        <color indexed="8"/>
        <rFont val="細明體"/>
        <family val="3"/>
      </rPr>
      <t>本次申請出國開會案，其中</t>
    </r>
    <r>
      <rPr>
        <sz val="6"/>
        <color indexed="8"/>
        <rFont val="Calibri"/>
        <family val="2"/>
      </rPr>
      <t>70,000</t>
    </r>
    <r>
      <rPr>
        <sz val="6"/>
        <color indexed="8"/>
        <rFont val="細明體"/>
        <family val="3"/>
      </rPr>
      <t>由所內業務費項下支出，其餘由科技部計畫國外差旅費項下支出。</t>
    </r>
  </si>
  <si>
    <r>
      <t xml:space="preserve">00031171
</t>
    </r>
    <r>
      <rPr>
        <sz val="8"/>
        <color indexed="8"/>
        <rFont val="細明體"/>
        <family val="3"/>
      </rPr>
      <t>補助單位未要求繳交</t>
    </r>
    <r>
      <rPr>
        <sz val="8"/>
        <color indexed="8"/>
        <rFont val="Calibri"/>
        <family val="2"/>
      </rPr>
      <t>,</t>
    </r>
    <r>
      <rPr>
        <sz val="8"/>
        <color indexed="8"/>
        <rFont val="細明體"/>
        <family val="3"/>
      </rPr>
      <t>故無須提出報告</t>
    </r>
  </si>
  <si>
    <r>
      <t>培育科技菁英計畫</t>
    </r>
    <r>
      <rPr>
        <sz val="10"/>
        <color indexed="8"/>
        <rFont val="Calibri"/>
        <family val="2"/>
      </rPr>
      <t>-</t>
    </r>
    <r>
      <rPr>
        <sz val="10"/>
        <color indexed="8"/>
        <rFont val="細明體"/>
        <family val="3"/>
      </rPr>
      <t>民族學研究所</t>
    </r>
  </si>
  <si>
    <t>現有許多居於洛杉磯地區的緬甸華僑，他們在緬甸仰光的一九五零、六零年代，皆於各大文娛節目裡擔綱要角，即使日後遷居洛杉磯，迄今仍持續推動著新社群的文藝活動。此外，洛杉磯有兩大緬甸寺廟 (Progressive Buddhist Association及Dhammajoti Meditation Center)，是緬華社群的主要聚集地。這些皆與本人進修計畫中所關注的課題高度相關。</t>
  </si>
  <si>
    <t>此為年輕學者進修計畫。本人乃赴美國加州大學河濱分校進修，學程名為「東南亞：文本、儀式與展演」，培養從當代議題檢視東南亞文化的敏感度，增進自我民族誌的全觀性思考。</t>
  </si>
  <si>
    <r>
      <t xml:space="preserve">00027524
</t>
    </r>
    <r>
      <rPr>
        <sz val="8.5"/>
        <color indexed="8"/>
        <rFont val="細明體"/>
        <family val="3"/>
      </rPr>
      <t>多年期計畫尚未結案併期末報告一併繳交</t>
    </r>
  </si>
  <si>
    <r>
      <t xml:space="preserve">00027559
</t>
    </r>
    <r>
      <rPr>
        <sz val="8.5"/>
        <color indexed="8"/>
        <rFont val="細明體"/>
        <family val="3"/>
      </rPr>
      <t>補助單位未要求繳交</t>
    </r>
    <r>
      <rPr>
        <sz val="8.5"/>
        <color indexed="8"/>
        <rFont val="Calibri"/>
        <family val="2"/>
      </rPr>
      <t>,</t>
    </r>
    <r>
      <rPr>
        <sz val="8.5"/>
        <color indexed="8"/>
        <rFont val="細明體"/>
        <family val="3"/>
      </rPr>
      <t>故無須提出報告</t>
    </r>
  </si>
  <si>
    <r>
      <t xml:space="preserve">00029271
</t>
    </r>
    <r>
      <rPr>
        <sz val="8.5"/>
        <color indexed="8"/>
        <rFont val="細明體"/>
        <family val="3"/>
      </rPr>
      <t>多年期計畫尚未結案併期末報告一併繳交</t>
    </r>
  </si>
  <si>
    <r>
      <t xml:space="preserve">00032144
</t>
    </r>
    <r>
      <rPr>
        <sz val="8.5"/>
        <color indexed="8"/>
        <rFont val="細明體"/>
        <family val="3"/>
      </rPr>
      <t>多年期計畫尚未結案併期末報告一併繳交</t>
    </r>
  </si>
  <si>
    <r>
      <t xml:space="preserve">00029582
</t>
    </r>
    <r>
      <rPr>
        <sz val="8.5"/>
        <color indexed="8"/>
        <rFont val="細明體"/>
        <family val="3"/>
      </rPr>
      <t>補助單位未要求繳交</t>
    </r>
    <r>
      <rPr>
        <sz val="8.5"/>
        <color indexed="8"/>
        <rFont val="Calibri"/>
        <family val="2"/>
      </rPr>
      <t>,</t>
    </r>
    <r>
      <rPr>
        <sz val="8.5"/>
        <color indexed="8"/>
        <rFont val="細明體"/>
        <family val="3"/>
      </rPr>
      <t>故無須提出報告</t>
    </r>
  </si>
  <si>
    <r>
      <t xml:space="preserve">00029677
</t>
    </r>
    <r>
      <rPr>
        <sz val="8.5"/>
        <color indexed="8"/>
        <rFont val="細明體"/>
        <family val="3"/>
      </rPr>
      <t>補助單位未要求繳交</t>
    </r>
    <r>
      <rPr>
        <sz val="8.5"/>
        <color indexed="8"/>
        <rFont val="Calibri"/>
        <family val="2"/>
      </rPr>
      <t>,</t>
    </r>
    <r>
      <rPr>
        <sz val="8.5"/>
        <color indexed="8"/>
        <rFont val="細明體"/>
        <family val="3"/>
      </rPr>
      <t>故無須提出報告</t>
    </r>
  </si>
  <si>
    <t>科技部專題計畫：NSC 100-2410-H-001-010-MY3 「青少年親子衝突歷程的建設性轉化初探」結餘款再運用</t>
  </si>
  <si>
    <t>出席The 23rd Congress of the International Association for Cross-Cultural Psychology 2016並發表論文一篇。</t>
  </si>
  <si>
    <r>
      <t xml:space="preserve">00029593
</t>
    </r>
    <r>
      <rPr>
        <sz val="8.5"/>
        <color indexed="8"/>
        <rFont val="細明體"/>
        <family val="3"/>
      </rPr>
      <t>出國報告連同結案報告一併繳交</t>
    </r>
  </si>
  <si>
    <r>
      <t xml:space="preserve">00028552
</t>
    </r>
    <r>
      <rPr>
        <sz val="8.5"/>
        <color indexed="8"/>
        <rFont val="細明體"/>
        <family val="3"/>
      </rPr>
      <t>出國報告連同結案報告一併繳交</t>
    </r>
  </si>
  <si>
    <r>
      <t xml:space="preserve">00027780
</t>
    </r>
    <r>
      <rPr>
        <sz val="8.5"/>
        <color indexed="8"/>
        <rFont val="細明體"/>
        <family val="3"/>
      </rPr>
      <t>出國報告連同結案報告一併繳交</t>
    </r>
  </si>
  <si>
    <r>
      <t xml:space="preserve">00029306
</t>
    </r>
    <r>
      <rPr>
        <sz val="8.5"/>
        <color indexed="8"/>
        <rFont val="細明體"/>
        <family val="3"/>
      </rPr>
      <t>出國報告連同結案報告一併繳交</t>
    </r>
  </si>
  <si>
    <r>
      <t xml:space="preserve">00026069
</t>
    </r>
    <r>
      <rPr>
        <sz val="8.5"/>
        <color indexed="8"/>
        <rFont val="細明體"/>
        <family val="3"/>
      </rPr>
      <t>出國報告連同結案報告一併繳交</t>
    </r>
  </si>
  <si>
    <r>
      <t xml:space="preserve">00029000
</t>
    </r>
    <r>
      <rPr>
        <sz val="8.5"/>
        <color indexed="8"/>
        <rFont val="細明體"/>
        <family val="3"/>
      </rPr>
      <t>出國報告連同結案報告一併繳交</t>
    </r>
  </si>
  <si>
    <r>
      <t xml:space="preserve">00028674
</t>
    </r>
    <r>
      <rPr>
        <sz val="8.5"/>
        <color indexed="8"/>
        <rFont val="細明體"/>
        <family val="3"/>
      </rPr>
      <t>出國報告連同結案報告一併繳交</t>
    </r>
  </si>
  <si>
    <r>
      <t xml:space="preserve">00028510
</t>
    </r>
    <r>
      <rPr>
        <sz val="8.5"/>
        <color indexed="8"/>
        <rFont val="細明體"/>
        <family val="3"/>
      </rPr>
      <t>出國報告連同結案報告一併繳交</t>
    </r>
  </si>
  <si>
    <r>
      <t xml:space="preserve">00028569
</t>
    </r>
    <r>
      <rPr>
        <sz val="8.5"/>
        <color indexed="8"/>
        <rFont val="細明體"/>
        <family val="3"/>
      </rPr>
      <t>出國報告連同結案報告一併繳交</t>
    </r>
  </si>
  <si>
    <r>
      <t xml:space="preserve">00029133
</t>
    </r>
    <r>
      <rPr>
        <sz val="8.5"/>
        <color indexed="8"/>
        <rFont val="細明體"/>
        <family val="3"/>
      </rPr>
      <t>出國報告連同結案報告一併繳交</t>
    </r>
  </si>
  <si>
    <t>00032034
補助單位未要求繳交,故無須提出報告</t>
  </si>
  <si>
    <r>
      <t xml:space="preserve">00029313
</t>
    </r>
    <r>
      <rPr>
        <sz val="8.5"/>
        <color indexed="8"/>
        <rFont val="細明體"/>
        <family val="3"/>
      </rPr>
      <t>多年期計畫尚未結案併期末報告一併繳交</t>
    </r>
  </si>
  <si>
    <r>
      <t xml:space="preserve">00030378
</t>
    </r>
    <r>
      <rPr>
        <sz val="8.5"/>
        <color indexed="8"/>
        <rFont val="細明體"/>
        <family val="3"/>
      </rPr>
      <t>多年期計畫尚未結案併期末報告一併繳交</t>
    </r>
  </si>
  <si>
    <r>
      <t xml:space="preserve">00030379
</t>
    </r>
    <r>
      <rPr>
        <sz val="8.5"/>
        <color indexed="8"/>
        <rFont val="細明體"/>
        <family val="3"/>
      </rPr>
      <t>多年期計畫尚未結案併期末報告一併繳交</t>
    </r>
  </si>
  <si>
    <r>
      <t xml:space="preserve">00026929
</t>
    </r>
    <r>
      <rPr>
        <sz val="8.5"/>
        <color indexed="8"/>
        <rFont val="細明體"/>
        <family val="3"/>
      </rPr>
      <t>多年期計畫尚未結案併期末報告一併繳交</t>
    </r>
  </si>
  <si>
    <r>
      <t xml:space="preserve">00030978
</t>
    </r>
    <r>
      <rPr>
        <sz val="8.5"/>
        <color indexed="8"/>
        <rFont val="細明體"/>
        <family val="3"/>
      </rPr>
      <t>多年期計畫尚未結案併期末報告一併繳交</t>
    </r>
  </si>
  <si>
    <r>
      <t xml:space="preserve">00032076
</t>
    </r>
    <r>
      <rPr>
        <sz val="8.5"/>
        <color indexed="8"/>
        <rFont val="細明體"/>
        <family val="3"/>
      </rPr>
      <t>多年期計畫尚未結案併期末報告一併繳交</t>
    </r>
  </si>
  <si>
    <r>
      <t xml:space="preserve">00030348
</t>
    </r>
    <r>
      <rPr>
        <sz val="8.5"/>
        <color indexed="8"/>
        <rFont val="細明體"/>
        <family val="3"/>
      </rPr>
      <t>多年期計畫尚未結案併期末報告一併繳交</t>
    </r>
  </si>
  <si>
    <r>
      <t xml:space="preserve">00030375
</t>
    </r>
    <r>
      <rPr>
        <sz val="8.5"/>
        <color indexed="8"/>
        <rFont val="細明體"/>
        <family val="3"/>
      </rPr>
      <t>多年期計畫尚未結案併期末報告一併繳交</t>
    </r>
  </si>
  <si>
    <r>
      <t xml:space="preserve">00031050
</t>
    </r>
    <r>
      <rPr>
        <sz val="8.5"/>
        <color indexed="8"/>
        <rFont val="細明體"/>
        <family val="3"/>
      </rPr>
      <t>多年期計畫尚未結案併期末報告一併繳交</t>
    </r>
  </si>
  <si>
    <t>00031289</t>
  </si>
  <si>
    <t>00031625</t>
  </si>
  <si>
    <t>研究普利昂蛋白由阿法到貝它構型自發性_MOST-102-2113-M-001-013-MY3</t>
  </si>
  <si>
    <r>
      <rPr>
        <sz val="10"/>
        <color indexed="8"/>
        <rFont val="細明體"/>
        <family val="3"/>
      </rPr>
      <t>美國</t>
    </r>
    <r>
      <rPr>
        <sz val="10"/>
        <color indexed="8"/>
        <rFont val="Calibri"/>
        <family val="2"/>
      </rPr>
      <t>(U.S.A.)</t>
    </r>
  </si>
  <si>
    <t>夏威夷</t>
  </si>
  <si>
    <t>低準確度DNA複製酶如何催化非Watson_MOST-103-2113-M-001-016-MY3</t>
  </si>
  <si>
    <t>104/12/15-104/12/28</t>
  </si>
  <si>
    <t>科技部單獨申請之經費</t>
  </si>
  <si>
    <t>00026655-1
104年度應付帳款差異數</t>
  </si>
  <si>
    <t>00026697-1
104年度應付帳款差異數</t>
  </si>
  <si>
    <r>
      <t xml:space="preserve">00028756
</t>
    </r>
    <r>
      <rPr>
        <sz val="8.5"/>
        <color indexed="8"/>
        <rFont val="細明體"/>
        <family val="3"/>
      </rPr>
      <t>補助單位未要求繳交</t>
    </r>
    <r>
      <rPr>
        <sz val="8.5"/>
        <color indexed="8"/>
        <rFont val="Calibri"/>
        <family val="2"/>
      </rPr>
      <t>,</t>
    </r>
    <r>
      <rPr>
        <sz val="8.5"/>
        <color indexed="8"/>
        <rFont val="細明體"/>
        <family val="3"/>
      </rPr>
      <t>故無須提出報告</t>
    </r>
  </si>
  <si>
    <r>
      <t>00029414
MOST</t>
    </r>
    <r>
      <rPr>
        <sz val="7"/>
        <color indexed="8"/>
        <rFont val="細明體"/>
        <family val="3"/>
      </rPr>
      <t>計畫</t>
    </r>
    <r>
      <rPr>
        <sz val="7"/>
        <color indexed="8"/>
        <rFont val="Calibri"/>
        <family val="2"/>
      </rPr>
      <t>100,000</t>
    </r>
    <r>
      <rPr>
        <sz val="7"/>
        <color indexed="8"/>
        <rFont val="細明體"/>
        <family val="3"/>
      </rPr>
      <t>元</t>
    </r>
    <r>
      <rPr>
        <sz val="7"/>
        <color indexed="8"/>
        <rFont val="Calibri"/>
        <family val="2"/>
      </rPr>
      <t xml:space="preserve">, </t>
    </r>
    <r>
      <rPr>
        <sz val="7"/>
        <color indexed="8"/>
        <rFont val="細明體"/>
        <family val="3"/>
      </rPr>
      <t>不足部分由本中心出國費用支付</t>
    </r>
    <r>
      <rPr>
        <sz val="7"/>
        <color indexed="8"/>
        <rFont val="Calibri"/>
        <family val="2"/>
      </rPr>
      <t>.</t>
    </r>
  </si>
  <si>
    <r>
      <t>研發能量提升計畫</t>
    </r>
    <r>
      <rPr>
        <sz val="10"/>
        <color indexed="8"/>
        <rFont val="Calibri"/>
        <family val="2"/>
      </rPr>
      <t>-</t>
    </r>
    <r>
      <rPr>
        <sz val="10"/>
        <color indexed="8"/>
        <rFont val="細明體"/>
        <family val="3"/>
      </rPr>
      <t>農業生物科技研究中心</t>
    </r>
  </si>
  <si>
    <t>本計畫為咸豐草聚乙炔類的抗雞隻球蟲作用與機制探討, 主要探討咸豐草與雞隻球蟲關係.</t>
  </si>
  <si>
    <t>105/09/12-105/09/18</t>
  </si>
  <si>
    <t>慕尼黑(Munich)</t>
  </si>
  <si>
    <t>本研討會係由植物厭氧國際組織International Society of Plant Anaerobiosis 主辦於丹麥赫爾辛格舉行，此研討會匯集各國植物在有氧及厭氧環境下的各種生理反應研究，能藉此了解國際間植物逆境研究並導入本國植物科學及實作應用。</t>
  </si>
  <si>
    <t>105/09/03-105/09/09</t>
  </si>
  <si>
    <t>Elsinore</t>
  </si>
  <si>
    <t>為培養體學開發植物活性成分之人才，以促進本國與國際間之實質學術合作交流，由計畫辦公室羅筱文將帶臺灣相關研究人員進行學術參訪交流活動，並赴駐英國臺北代表處科技組進行業務拜訪，以達成臺英科技建交之目的。會後將拜會英國科技組了解臺英科技交流之動態及未來規劃。</t>
  </si>
  <si>
    <t>創新轉譯農學研究計畫擬培養體學開發植物活性成分之人才，以促進本國與國際間之實質學術合作交流，故補助宋宜樟赴英國JIC參與學術參訪交流活動。 為鼓勵國內高階人才，於出國期間補助其前往牛津大學及蘇黎世大學訪談。</t>
  </si>
  <si>
    <t>使用490000　專題計畫結餘款出席日本植物細胞分子生物學會(上田)大會</t>
  </si>
  <si>
    <t>105/08/24-105/09/04</t>
  </si>
  <si>
    <t>上田市 埼玉市 筑波市</t>
  </si>
  <si>
    <t>此次前往參加之研討會與會成員包含植物界各領域之學者. 藉由參與此次研討會,可與植物生理學,分子生物學,植物組織培養, 細胞工程學等領域相關學者進行交流,對於目前所進行之植物基因突變與編輯研究技術與發展可以提供更多不同專業領域的討論及建議.</t>
  </si>
  <si>
    <t>希望藉由了解cytopiloyne 調節胰島細胞之作用與分子機制，發展新式糖尿病療法,與學術研究相關</t>
  </si>
  <si>
    <t>出席第9屆聯合天然物會議</t>
  </si>
  <si>
    <t>葉信宏老師計畫結餘款</t>
  </si>
  <si>
    <t>參加由EMBO舉辦的生物綜合領域研討會以獲取該領域最新知識，瞭解世界研究趨勢及發展，同時張貼本實驗室研究成果海報，提供學術交流，獲取不同建議，對日後研究有所幫助</t>
  </si>
  <si>
    <t>105/09/07-105/09/15</t>
  </si>
  <si>
    <t>Mannheim</t>
  </si>
  <si>
    <t>計畫結餘款再運用-中心統籌款 臺灣與波蘭雙邊農業生技研討會</t>
  </si>
  <si>
    <t>專題計畫結餘款-中心統籌款</t>
  </si>
  <si>
    <t>徐麗芬計畫節餘款再運用</t>
  </si>
  <si>
    <t>受邀參加2016年海峽兩岸植物小分子暑期班及學術研討會演講</t>
  </si>
  <si>
    <t>00027659
報告於結案時一併繳交</t>
  </si>
  <si>
    <t>參加第十六屆國際蛋白質體年會(KHUPO 16th Annual International Proeotmics Conference並提供演講</t>
  </si>
  <si>
    <t>00028051
報告於結案時一併繳交</t>
  </si>
  <si>
    <t>00028211
報告於結案時一併繳交</t>
  </si>
  <si>
    <t>00027869
報告於結案時一併繳交</t>
  </si>
  <si>
    <t>00028278
報告於結案時一併繳交</t>
  </si>
  <si>
    <t>00028504
報告於結案時一併繳交</t>
  </si>
  <si>
    <t>參加第12屆國際有機反應學術研討會暨第6屆德國-日本電化學合成學術研討會並發表計畫相關論文</t>
  </si>
  <si>
    <t>00028275
報告於結案時一併繳交</t>
  </si>
  <si>
    <t>Attend the 65th Society of Polymer Science, Japan (SPSJ) national meeting</t>
  </si>
  <si>
    <t>00028993
報告於結案時一併繳交</t>
  </si>
  <si>
    <t>參加第12屆國際有機反應學術研討會暨第6屆德國-日本電化學合成學術研討會並發表計畫相關論文</t>
  </si>
  <si>
    <t>00028273
報告於結案時一併繳交</t>
  </si>
  <si>
    <t>00027757
報告於結案時一併繳交</t>
  </si>
  <si>
    <t>參加第二十七屆國際有機金屬會議27th ICOMC 2016</t>
  </si>
  <si>
    <t>00029609
報告於結案時一併繳交</t>
  </si>
  <si>
    <t>00029268
報告於結案時一併繳交</t>
  </si>
  <si>
    <t>參加第二十七屆國際有機金屬會議27th ICOMC 2016並給予演講</t>
  </si>
  <si>
    <t>Invited to Korea to give three separated different lecture on Organic  Asian Core Program and make have scientific exchange with universities in Korea through the Asian Core Program initiatives.</t>
  </si>
  <si>
    <t>00030822
報告於結案時一併繳交</t>
  </si>
  <si>
    <t>00030862
報告於結案時一併繳交</t>
  </si>
  <si>
    <t>參加於美國洛杉磯舉行之第五屆金屬有機配位聚合物國際會議(MOF2016)</t>
  </si>
  <si>
    <t>00030580
報告於結案時一併繳交</t>
  </si>
  <si>
    <t>I am invited to give a talk in 3rd international conference on Organometallics and Catalysis.</t>
  </si>
  <si>
    <t>00030291
報告於結案時一併繳交</t>
  </si>
  <si>
    <t>00031018
報告於結案時一併繳交</t>
  </si>
  <si>
    <t>參加美國華盛頓NIH臨床蛋白質組學腫瘤協會分析研討會</t>
  </si>
  <si>
    <t>參加紐西蘭奧克蘭The 8th Asian Biological Inorganic Chemistry Conference(AsBIC)</t>
  </si>
  <si>
    <t>00032595
報告於結案時一併繳交</t>
  </si>
  <si>
    <t>00032676
報告於結案時一併繳交</t>
  </si>
  <si>
    <t>Attend 14th Internaional Symposium for Chinese Organic Chemist (ISCOC)and 11th Internaional Symposium for Chinese Inorganic Chemist (ISCIC ). The conference is about all field of chemistry from all over the world.</t>
  </si>
  <si>
    <t>00032970
報告於結案時一併繳交</t>
  </si>
  <si>
    <t>00030955
報告於結案時一併繳交</t>
  </si>
  <si>
    <t>00032446
報告於結案時一併繳交</t>
  </si>
  <si>
    <t>參加第十一屆氫化酵素會議 105-2914-I-001-028-A1</t>
  </si>
  <si>
    <t>參加第十一屆氫化酵素會議</t>
  </si>
  <si>
    <t>BIT's 6th Annual World Congress of Nano Science &amp; Technology - 2016 105-2914-I-001-048-A1</t>
  </si>
  <si>
    <t>00030795
報告於結案時一併繳交</t>
  </si>
  <si>
    <t>參加2016/9/11~9/15於美國洛杉磯舉行之第五屆金屬有機配位聚合物國際會議(MOF2016) 105-2914-I-001-035-A1</t>
  </si>
  <si>
    <t xml:space="preserve">參加2016/9/11~9/15於美國洛杉磯舉行之第五屆金屬有機配位聚合物國際會議(MOF2016) </t>
  </si>
  <si>
    <t>00030563
報告於結案時一併繳交</t>
  </si>
  <si>
    <t>00024528
104年度因公出國案，105年度因故收回該經費。</t>
  </si>
  <si>
    <t>105/06/24-105/07/10</t>
  </si>
  <si>
    <t>參加與發表論文在2016:International Conferences &amp; Exhibition on Nanotechnologies - Organic Electronics &amp; Nanomedicine</t>
  </si>
  <si>
    <t>此國際會議包括基礎研究開發與應用研究,會議主題如: Photovoltaics,graphene, Perovskites,and IoT, Commercialization &amp; Entrepreneurship與我們實驗室正在發展技術有密切相關,同時對於新興能源技術應用於IoT也將有深入探討.</t>
  </si>
  <si>
    <t>赴美國加州史丹福大學移地研究</t>
  </si>
  <si>
    <t>00029052
報告於結案時一併繳交</t>
  </si>
  <si>
    <t>因共同研究需求，擬前往日本廣島大學化學系- 安倍 學教授實驗室進行研究</t>
  </si>
  <si>
    <t>00026886
報告於結案時一併繳交</t>
  </si>
  <si>
    <t>赴美國舊金山史丹佛大學移地研究</t>
  </si>
  <si>
    <t>00029064
報告於結案時一併繳交</t>
  </si>
  <si>
    <t>冷凍電顯計畫,需赴加州史丹福大學Roger Kornberg實驗室 使用裝設 K2 summit 直接電子相機之自動冷凍電顯</t>
  </si>
  <si>
    <t>00028899
報告於結案時一併繳交</t>
  </si>
  <si>
    <t>計畫名稱: 以冷凍電顯重構技術來鑑定 腸病毒上 之原位結構 須移地研究 使用 史丹福之先進冷凍電顯之高解析度相機</t>
  </si>
  <si>
    <t>00030046
由科技部計畫 移地研究 支出 台北 舊金山 機票</t>
  </si>
  <si>
    <t>00028892
報告於結案時一併繳交</t>
  </si>
  <si>
    <t>00028972
報告於結案時一併繳交</t>
  </si>
  <si>
    <t>00026848
報告於結案時一併繳交</t>
  </si>
  <si>
    <t>00028186
報告於結案時一併繳交</t>
  </si>
  <si>
    <t>00030900
報告於結案時一併繳交</t>
  </si>
  <si>
    <t>00030557
報告於結案時一併繳交</t>
  </si>
  <si>
    <t>00031016
報告於結案時一併繳交</t>
  </si>
  <si>
    <t>10th Aseanian Conference on Nano-Hybrid Solar Cells</t>
  </si>
  <si>
    <t>亞太地區奈米雜化太陽能電池會議在新世代太陽能電池領域中具有高度前瞻性與領導性，會議涵蓋四大主題：(1) 鈣鈦礦太陽能電池、(2) 染料/半導體敏化太陽能電池、(3) 有機太陽能電池 (Organic Solar Cells)、(4) 新穎電池材料與元件。</t>
  </si>
  <si>
    <t>第十屆亞洲奈米複合太陽能電池國際會議(10thAseanian Conference on Nano-Hybrid Solar Cells, September 20th-24th, 2016, Beijing, China)</t>
  </si>
  <si>
    <t>以海報形式發表相關論文一篇(題目：Crown Ether-Functionalized PhenothiazineSensitizers with DoubleAnchors for Dye-SensitizedSolar Cells: A Study of the Lithium Chelation at thePhotoanode/Electrolyte Interface)。</t>
  </si>
  <si>
    <t>參與Association for Asian Studies 2016年會，擔任 "Re-spatializing Center and Periphery in East Asian Medicine: Cases from China and Korea",此panel 的主持人。</t>
  </si>
  <si>
    <t>105/03/30-105/04/07</t>
  </si>
  <si>
    <t>105/01/29-105/02/22</t>
  </si>
  <si>
    <t>紐澤西</t>
  </si>
  <si>
    <t>參加日本京都AAS國際會議</t>
  </si>
  <si>
    <t>105/06/23-105/06/28</t>
  </si>
  <si>
    <t>105/09/07-105/09/20</t>
  </si>
  <si>
    <t>New Brunswick</t>
  </si>
  <si>
    <t>105/03/30-105/04/23</t>
  </si>
  <si>
    <t>西雅圖(Seattle,Washington) 洛杉磯(Los Angeles,California) Eugene, Oregon</t>
  </si>
  <si>
    <t>為執行科技部計畫赴日本名古屋愛知大學與愛知縣立大學蒐集，有關二十世紀中國的圖書、報紙與雜誌，其中對於中日戰爭有許多重要的資料。並訪問愛知縣立大學的黃東蘭教授，就學術交流與合作進行磋商。</t>
  </si>
  <si>
    <r>
      <t>為執行科技部計畫「經濟高度成長時期的日本外交（</t>
    </r>
    <r>
      <rPr>
        <sz val="10"/>
        <rFont val="Calibri"/>
        <family val="2"/>
      </rPr>
      <t>1960-1972</t>
    </r>
    <r>
      <rPr>
        <sz val="10"/>
        <rFont val="細明體"/>
        <family val="3"/>
      </rPr>
      <t>）」赴日本京都蒐集資料。</t>
    </r>
  </si>
  <si>
    <t>赴京都日本文化研究中心收集資料。</t>
  </si>
  <si>
    <t>為執行「釣魚臺列嶼主權之十大事實」研究計畫案。於東京外交史料館蒐集釣魚臺相關研究資料。</t>
  </si>
  <si>
    <t>為執行「交流史視野下的蘇州片研究」計畫，赴日本大阪市立美術館、神戶市立博物館、奈良國立博物館、名古屋蓬左文庫、岡崎市美術博物館、東京都美術館與國會圖書館等收集資料。</t>
  </si>
  <si>
    <t>為執行科技部計畫，赴東京蒐集史料。</t>
  </si>
  <si>
    <t>為執行科技部〈運動與殖民：近代外人在華的英式運動〉研究計畫，赴英國倫敦收集研究資料</t>
  </si>
  <si>
    <t>為執行人道主義或修正主義：蘇聯電影《一個人的遭遇》在中蘇關係中的角色計畫，赴俄國莫斯科的文藝圖書館和國家檔案館收集資料。</t>
  </si>
  <si>
    <t>為執行科技部計畫『交流史視野下的蘇州片研究』赴東京與關西收集資料。</t>
  </si>
  <si>
    <r>
      <t>赴香港浸會大學參加國際尚書學研討會</t>
    </r>
    <r>
      <rPr>
        <sz val="10"/>
        <rFont val="Calibri"/>
        <family val="2"/>
      </rPr>
      <t>.</t>
    </r>
    <r>
      <rPr>
        <sz val="10"/>
        <rFont val="細明體"/>
        <family val="3"/>
      </rPr>
      <t>發表論文。</t>
    </r>
  </si>
  <si>
    <t>清代學術思想史的一個新觀察-學統重建與知識分化_MOST 103-2410-H-001-077-MY3</t>
  </si>
  <si>
    <r>
      <t xml:space="preserve">00027783
</t>
    </r>
    <r>
      <rPr>
        <sz val="8.5"/>
        <rFont val="細明體"/>
        <family val="3"/>
      </rPr>
      <t>多年期計畫尚未結案併期末報告一併繳交。</t>
    </r>
  </si>
  <si>
    <t>赴北京收集資料。</t>
  </si>
  <si>
    <t>執行財團法人蔣經國國際學術交流基金會補助「邁向和解之路：中日戰爭的再省思」研究計畫訪問中國大陸，與各地學者學術交流。</t>
  </si>
  <si>
    <t>為執行科技部「抗戰時期淪陷區的城市生活：以蘇州為例」，赴蘇州蒐集資料。</t>
  </si>
  <si>
    <t>為執行「釣魚臺列嶼主權之十大事實」研究計畫案。内容：一、於東京外交史料館蒐集釣魚臺相關研究資料。二、於北京外交部檔案館蒐集甲午戰爭、馬關條約與釣魚臺相關研究資料。</t>
  </si>
  <si>
    <r>
      <t>為進行科技部專書寫作計畫</t>
    </r>
    <r>
      <rPr>
        <sz val="8"/>
        <rFont val="Calibri"/>
        <family val="2"/>
      </rPr>
      <t>(&lt;</t>
    </r>
    <r>
      <rPr>
        <sz val="8"/>
        <rFont val="細明體"/>
        <family val="3"/>
      </rPr>
      <t>清代學術思想史的一個新觀察</t>
    </r>
    <r>
      <rPr>
        <sz val="8"/>
        <rFont val="Calibri"/>
        <family val="2"/>
      </rPr>
      <t>-</t>
    </r>
    <r>
      <rPr>
        <sz val="8"/>
        <rFont val="細明體"/>
        <family val="3"/>
      </rPr>
      <t>學統重建與知識分化</t>
    </r>
    <r>
      <rPr>
        <sz val="8"/>
        <rFont val="Calibri"/>
        <family val="2"/>
      </rPr>
      <t>&gt;,</t>
    </r>
    <r>
      <rPr>
        <sz val="8"/>
        <rFont val="細明體"/>
        <family val="3"/>
      </rPr>
      <t>擬赴香港中央圖書館</t>
    </r>
    <r>
      <rPr>
        <sz val="8"/>
        <rFont val="Calibri"/>
        <family val="2"/>
      </rPr>
      <t>/</t>
    </r>
    <r>
      <rPr>
        <sz val="8"/>
        <rFont val="細明體"/>
        <family val="3"/>
      </rPr>
      <t>馮屏山圖書館</t>
    </r>
    <r>
      <rPr>
        <sz val="8"/>
        <rFont val="Calibri"/>
        <family val="2"/>
      </rPr>
      <t>/</t>
    </r>
    <r>
      <rPr>
        <sz val="8"/>
        <rFont val="細明體"/>
        <family val="3"/>
      </rPr>
      <t>饒宗頤特藏室</t>
    </r>
    <r>
      <rPr>
        <sz val="8"/>
        <rFont val="Calibri"/>
        <family val="2"/>
      </rPr>
      <t>/</t>
    </r>
    <r>
      <rPr>
        <sz val="8"/>
        <rFont val="細明體"/>
        <family val="3"/>
      </rPr>
      <t>羅香林特藏室</t>
    </r>
    <r>
      <rPr>
        <sz val="8"/>
        <rFont val="Calibri"/>
        <family val="2"/>
      </rPr>
      <t>/</t>
    </r>
    <r>
      <rPr>
        <sz val="8"/>
        <rFont val="細明體"/>
        <family val="3"/>
      </rPr>
      <t>中文大學新亞書院</t>
    </r>
    <r>
      <rPr>
        <sz val="8"/>
        <rFont val="Calibri"/>
        <family val="2"/>
      </rPr>
      <t>/</t>
    </r>
    <r>
      <rPr>
        <sz val="8"/>
        <rFont val="細明體"/>
        <family val="3"/>
      </rPr>
      <t>新界等地蒐集資料</t>
    </r>
    <r>
      <rPr>
        <sz val="8"/>
        <rFont val="Calibri"/>
        <family val="2"/>
      </rPr>
      <t>.</t>
    </r>
  </si>
  <si>
    <r>
      <t xml:space="preserve">00027190
</t>
    </r>
    <r>
      <rPr>
        <sz val="8"/>
        <rFont val="細明體"/>
        <family val="3"/>
      </rPr>
      <t>補助單位未要求繳交，故無須提出報告。</t>
    </r>
  </si>
  <si>
    <r>
      <t xml:space="preserve">00028678
</t>
    </r>
    <r>
      <rPr>
        <sz val="8"/>
        <rFont val="細明體"/>
        <family val="3"/>
      </rPr>
      <t>委託單位未要求繳交，故無須提出報告。</t>
    </r>
  </si>
  <si>
    <t>硝酸鹽訊息傳遞網:從感知到調控(2/2)</t>
  </si>
  <si>
    <t>國外旅費</t>
  </si>
  <si>
    <t>104/09/20-104/10/04</t>
  </si>
  <si>
    <r>
      <rPr>
        <sz val="10"/>
        <color indexed="8"/>
        <rFont val="細明體"/>
        <family val="3"/>
      </rPr>
      <t>法國</t>
    </r>
    <r>
      <rPr>
        <sz val="10"/>
        <color indexed="8"/>
        <rFont val="Calibri"/>
        <family val="2"/>
      </rPr>
      <t>(France)</t>
    </r>
  </si>
  <si>
    <r>
      <rPr>
        <sz val="10"/>
        <color indexed="8"/>
        <rFont val="細明體"/>
        <family val="3"/>
      </rPr>
      <t>巴黎</t>
    </r>
    <r>
      <rPr>
        <sz val="10"/>
        <color indexed="8"/>
        <rFont val="Calibri"/>
        <family val="2"/>
      </rPr>
      <t>(Paris)</t>
    </r>
  </si>
  <si>
    <t>00024921
105年度支出收回74</t>
  </si>
  <si>
    <t>前往法國巴黎國家農業研究所實驗室進行研究交流訪問</t>
  </si>
  <si>
    <t>前往澳門大學經濟系與Guang-Zhen Sun教授討論合作研究計畫 "The parallel Tullock contests"</t>
  </si>
  <si>
    <t>受清華大學經濟系鄭捷教授之邀，赴該系訪問並與鄭捷教授討論合作研究計畫</t>
  </si>
  <si>
    <r>
      <t xml:space="preserve">00030695
</t>
    </r>
    <r>
      <rPr>
        <sz val="8.5"/>
        <color indexed="8"/>
        <rFont val="細明體"/>
        <family val="3"/>
      </rPr>
      <t>計畫未結案併期末報告一併繳交。</t>
    </r>
  </si>
  <si>
    <r>
      <t xml:space="preserve">00030835
</t>
    </r>
    <r>
      <rPr>
        <sz val="8.5"/>
        <color indexed="8"/>
        <rFont val="細明體"/>
        <family val="3"/>
      </rPr>
      <t>計畫未結案併期末報告一併繳交。</t>
    </r>
  </si>
  <si>
    <t>00026278
104年出國案因變更經費來源,改列計畫結餘款支應,循內部程序,簽核同意於105年支應</t>
  </si>
  <si>
    <t>00026504
104年出國案因變更經費來源,改列計畫結餘款支應,循內部程序,簽核同意於105年支應</t>
  </si>
  <si>
    <r>
      <t>00024183
104年出國案,未列入應付帳款,循內部程序,簽核同意於105年支應.</t>
    </r>
    <r>
      <rPr>
        <sz val="6"/>
        <rFont val="細明體"/>
        <family val="3"/>
      </rPr>
      <t>報告於結案時一併繳交</t>
    </r>
  </si>
  <si>
    <t>00026964</t>
  </si>
  <si>
    <t>00027208</t>
  </si>
  <si>
    <t>00026566</t>
  </si>
  <si>
    <t>00028936</t>
  </si>
  <si>
    <t>00026457</t>
  </si>
  <si>
    <t>00028871</t>
  </si>
  <si>
    <t>00029266</t>
  </si>
  <si>
    <t>00030062</t>
  </si>
  <si>
    <t>00029890</t>
  </si>
  <si>
    <t>00029139</t>
  </si>
  <si>
    <t>00029199</t>
  </si>
  <si>
    <t>00029251</t>
  </si>
  <si>
    <t>00029195</t>
  </si>
  <si>
    <t>至美國San Francisco參加 2016 American Economic Association Annual Meeting，並發表論文 Equilibrium Dynamics of an Endogenous Growth Model under Alternative Financial Constraints</t>
  </si>
  <si>
    <t>105/01/01-105/01/07</t>
  </si>
  <si>
    <t>參加Uncertainty Quantification for Multiscale Stochastic Systems and Applications會議，並順道訪問University of California, Riverside討論執行中科技部計畫事宜。</t>
  </si>
  <si>
    <t>105/01/18-105/02/15</t>
  </si>
  <si>
    <t>105/02/15-105/02/24</t>
  </si>
  <si>
    <t>104/12/31-105/01/09</t>
  </si>
  <si>
    <t>參加 The 2016 North American Meeting of the Econometric Society 文章名稱：Evaluation of Optimal Unemployment Insurance with Reemployment Bonuses Using Regression Discontinuity (Kink) Design</t>
  </si>
  <si>
    <t>105/06/10-105/06/21</t>
  </si>
  <si>
    <t>The AEA, in conjunction with 55 associations in related disciplines, assembles over 12,000 of the best minds in economics to network and celebrate new achievements in economic research.</t>
  </si>
  <si>
    <t>出國參與2016SSCW會議並於會議上發表論文</t>
  </si>
  <si>
    <t>105/06/25-105/07/03</t>
  </si>
  <si>
    <t>擔任Session "Estimation of Time Series Models I"場次主持人並發表論文"VAR-based Long-run Variance Estimation in A GMM Framework: A Model Averaging Approach".</t>
  </si>
  <si>
    <t>105/08/07-105/08/15</t>
  </si>
  <si>
    <t>1.赴德國漢堡EuHEA Conference 2016參與會議 2.赴丹麥Copenhagen Business School進行訪問</t>
  </si>
  <si>
    <t>105/07/11-105/07/25</t>
  </si>
  <si>
    <t>赴京都參加計量經濟學會2016年亞洲會議</t>
  </si>
  <si>
    <t>105/08/09-105/08/15</t>
  </si>
  <si>
    <t>赴日本京都參加2016 Asian Meeting of the Econometric Society並於會議上發表論文"To Stay or to Migrate? The One-child Policy, Land Entitlement and Work-based Migration in China"。</t>
  </si>
  <si>
    <t>105/08/11-105/08/14</t>
  </si>
  <si>
    <t>2016計量經濟學會亞洲研討會，擬於該會議發表專題計畫下相關論文"Inference after Model Averaging in Linear Regression Models"。</t>
  </si>
  <si>
    <t>105/08/08-105/08/14</t>
  </si>
  <si>
    <t>赴維也納參加2016 European Regional Science Association Congress</t>
  </si>
  <si>
    <t>105/08/15-105/08/27</t>
  </si>
  <si>
    <t>8/11-8/13 : 2016 Asian Meeting of the Econometric Society 8/15-8/16 : Advances in Microeconometrics</t>
  </si>
  <si>
    <t>105/08/10-105/08/16</t>
  </si>
  <si>
    <t>赴美國紐約石溪(Stony Brook)參加第27屆賽局國際會議，並發表論文“Weak Robust (Virtual) Implementation”。</t>
  </si>
  <si>
    <t>105/07/14-105/07/31</t>
  </si>
  <si>
    <t>參加2016布拉格市場經濟管理學術研討會，並發表論文。</t>
  </si>
  <si>
    <t>105/12/06-105/12/12</t>
  </si>
  <si>
    <t>於2016越南金融研討會發表論文，並順道訪問孫德勝大學管理學院。</t>
  </si>
  <si>
    <t>105/11/13-105/11/21</t>
  </si>
  <si>
    <t>河內(Hanoi) 胡志明市(Ho Chi Minh City)</t>
  </si>
  <si>
    <t>參與日本京都2016 Asia Meeting of the Econometric Society(AMES2016)並發表論文</t>
  </si>
  <si>
    <t>105/08/10-105/08/13</t>
  </si>
  <si>
    <r>
      <t xml:space="preserve">00026964
</t>
    </r>
    <r>
      <rPr>
        <sz val="8.5"/>
        <color indexed="8"/>
        <rFont val="細明體"/>
        <family val="3"/>
      </rPr>
      <t>多年期計畫尚未結案併期末報告一併繳交</t>
    </r>
  </si>
  <si>
    <t>洛杉磯(Los Angeles,California) Riverside</t>
  </si>
  <si>
    <t>漢米爾頓(Hamilton)</t>
  </si>
  <si>
    <t>隆德</t>
  </si>
  <si>
    <t>漢堡(Hamburg) 哥本哈根(Copenhagen)</t>
  </si>
  <si>
    <r>
      <t>參加美國經濟學會</t>
    </r>
    <r>
      <rPr>
        <sz val="7"/>
        <color indexed="8"/>
        <rFont val="Calibri"/>
        <family val="2"/>
      </rPr>
      <t>2016</t>
    </r>
    <r>
      <rPr>
        <sz val="7"/>
        <color indexed="8"/>
        <rFont val="細明體"/>
        <family val="3"/>
      </rPr>
      <t>年會，為經濟學界最重要的組織之一「美國經濟學會」與其他相關之經濟學會聯合召開之年會，本計畫論文</t>
    </r>
    <r>
      <rPr>
        <sz val="7"/>
        <color indexed="8"/>
        <rFont val="Calibri"/>
        <family val="2"/>
      </rPr>
      <t>Optimal Disability Insurance and Unemployment Insurance With Cyclical Fluctuations</t>
    </r>
    <r>
      <rPr>
        <sz val="7"/>
        <color indexed="8"/>
        <rFont val="細明體"/>
        <family val="3"/>
      </rPr>
      <t>將於該會議中發表。</t>
    </r>
  </si>
  <si>
    <r>
      <t xml:space="preserve">00030287
</t>
    </r>
    <r>
      <rPr>
        <sz val="10"/>
        <color indexed="8"/>
        <rFont val="細明體"/>
        <family val="3"/>
      </rPr>
      <t>已依規定上傳報告至科技部</t>
    </r>
  </si>
  <si>
    <t>00018258</t>
  </si>
  <si>
    <t>00029364</t>
  </si>
  <si>
    <t>00027445</t>
  </si>
  <si>
    <t>00027539</t>
  </si>
  <si>
    <t>00029949</t>
  </si>
  <si>
    <t>00030447</t>
  </si>
  <si>
    <r>
      <t>為執行「釣魚臺列嶼主權之十大事實」研究計畫案，於東京外交史料館蒐集有關</t>
    </r>
    <r>
      <rPr>
        <sz val="9"/>
        <rFont val="Calibri"/>
        <family val="2"/>
      </rPr>
      <t>1885</t>
    </r>
    <r>
      <rPr>
        <sz val="9"/>
        <rFont val="細明體"/>
        <family val="3"/>
      </rPr>
      <t>年前後日本政府對釣魚臺列嶼態度之資料。</t>
    </r>
  </si>
  <si>
    <r>
      <t>為執行「談的管理與其現代轉化：以物質史為中心重探衛生現代性」計畫。前往美國紐約</t>
    </r>
    <r>
      <rPr>
        <sz val="8"/>
        <rFont val="Calibri"/>
        <family val="2"/>
      </rPr>
      <t xml:space="preserve"> Rockefeller Archive Center </t>
    </r>
    <r>
      <rPr>
        <sz val="8"/>
        <rFont val="細明體"/>
        <family val="3"/>
      </rPr>
      <t>與</t>
    </r>
    <r>
      <rPr>
        <sz val="8"/>
        <rFont val="Calibri"/>
        <family val="2"/>
      </rPr>
      <t xml:space="preserve">Columbia University </t>
    </r>
    <r>
      <rPr>
        <sz val="8"/>
        <rFont val="細明體"/>
        <family val="3"/>
      </rPr>
      <t>收集資料。</t>
    </r>
  </si>
  <si>
    <r>
      <t xml:space="preserve">00027706
</t>
    </r>
    <r>
      <rPr>
        <sz val="8.5"/>
        <rFont val="細明體"/>
        <family val="3"/>
      </rPr>
      <t>已辦理經費結案，於執行結束後三個月內，併期末報告一併繳交。</t>
    </r>
  </si>
  <si>
    <r>
      <t xml:space="preserve">00027185
</t>
    </r>
    <r>
      <rPr>
        <sz val="8.5"/>
        <rFont val="細明體"/>
        <family val="3"/>
      </rPr>
      <t>已辦理經費結案，於執行結束後三個月內，併期末報告一併繳交。</t>
    </r>
  </si>
  <si>
    <r>
      <t xml:space="preserve">00028700
</t>
    </r>
    <r>
      <rPr>
        <sz val="8.5"/>
        <rFont val="細明體"/>
        <family val="3"/>
      </rPr>
      <t>委辦單位未要求繳交，故無須提出報告。</t>
    </r>
  </si>
  <si>
    <r>
      <t xml:space="preserve">00027102
</t>
    </r>
    <r>
      <rPr>
        <sz val="8.5"/>
        <rFont val="細明體"/>
        <family val="3"/>
      </rPr>
      <t>委辦單位未要求繳交，故無須提出報告。</t>
    </r>
  </si>
  <si>
    <r>
      <t xml:space="preserve">00033083
</t>
    </r>
    <r>
      <rPr>
        <sz val="8.5"/>
        <rFont val="細明體"/>
        <family val="3"/>
      </rPr>
      <t>多年期計畫尚未結案併期末報告一併繳交。</t>
    </r>
  </si>
  <si>
    <r>
      <t xml:space="preserve">00028792
</t>
    </r>
    <r>
      <rPr>
        <sz val="8.5"/>
        <rFont val="細明體"/>
        <family val="3"/>
      </rPr>
      <t>多年期計畫尚未結案併期末報告一併繳交。</t>
    </r>
  </si>
  <si>
    <r>
      <t xml:space="preserve">00026959
</t>
    </r>
    <r>
      <rPr>
        <sz val="8.5"/>
        <rFont val="細明體"/>
        <family val="3"/>
      </rPr>
      <t>科技部計畫可於執行結束後三個月內併結案報告一併繳交，不限於回國後三個月內繳交報告。</t>
    </r>
  </si>
  <si>
    <t>赴美國普林斯頓大學訪問，與謝宇院士研討稅籍資料分析家庭結構，並向余英時院士請教台灣人文社會科學發展走向。</t>
  </si>
  <si>
    <t>前往英國劍橋大學經濟系與Hamid Sabourian教授討論合作研究計劃 "A Folk Theorem for Stochastic Evolutionary Game Theory" 完稿工作並商討可能的新合作計畫。</t>
  </si>
  <si>
    <t>赴日本-仙台參加研討會，並於會中發表論文"The bottleneck: the concentration of trade intermediation."。會後與Dao-Zhi Zeng教授討論兩篇共同論文"Tax competition on mobile capital","Tax competition, increasing returns, and globalization."</t>
  </si>
  <si>
    <t>1. 接受美國喬治華盛頓大學經濟系Graciela Kaminsky教授邀請前往該系擔任訪問學者，和該系教授和博士班研究生交流研究想法。將參與該系學術活動(包含每週研討會、國際經濟學討論會)，並與Kaminsky教授和其他教授討論合作研究之可能性。 2. 參加The 14th INFINITI Conference on International Conference並發表論文。</t>
  </si>
  <si>
    <t>由加拿大卡爾加利大學Trevor Tombe教授邀請前往該所大學進行學術交流並撰寫研究計畫下相關論文。</t>
  </si>
  <si>
    <t>至倫敦進行研究合作計畫</t>
  </si>
  <si>
    <t>至 The Department of Economics, National University of Singapore, and School of Economics, Singapore Management University 訪問並演講。</t>
  </si>
  <si>
    <t>由荷蘭鹿特丹伊拉斯謨斯大學Wendun Wang教授邀請前往該所大學進行演講並訪問。</t>
  </si>
  <si>
    <r>
      <t xml:space="preserve">00031813
</t>
    </r>
    <r>
      <rPr>
        <sz val="8.5"/>
        <color indexed="8"/>
        <rFont val="細明體"/>
        <family val="3"/>
      </rPr>
      <t>多年期計畫尚未結案併期末報告一併繳交</t>
    </r>
  </si>
  <si>
    <r>
      <t xml:space="preserve">00031544
</t>
    </r>
    <r>
      <rPr>
        <sz val="8.5"/>
        <color indexed="8"/>
        <rFont val="細明體"/>
        <family val="3"/>
      </rPr>
      <t>多年期計畫尚未結案併期末報告一併繳交</t>
    </r>
  </si>
  <si>
    <r>
      <t xml:space="preserve">00029264
</t>
    </r>
    <r>
      <rPr>
        <sz val="8.5"/>
        <color indexed="8"/>
        <rFont val="細明體"/>
        <family val="3"/>
      </rPr>
      <t>多年期計畫尚未結案併期末報告一併繳交</t>
    </r>
  </si>
  <si>
    <t>比利時(Belgium) 荷蘭(Netherlands)</t>
  </si>
  <si>
    <t>布魯塞爾(Brussels) 瓦赫寧根(Wageningen)</t>
  </si>
  <si>
    <t>00031927</t>
  </si>
  <si>
    <t>SUSFANS Plenary Project Meeting “Assessing EU sustainable food and nutrition security” and “The second workshop of the Stakeholder Core Group (SCG WS)”</t>
  </si>
  <si>
    <t>計畫結餘款J70008</t>
  </si>
  <si>
    <t>00030070</t>
  </si>
  <si>
    <t>Attend the 6th Annual Conference of the East Asian Association of Enviornmental and Resource Economics.</t>
  </si>
  <si>
    <t>105/08/06-105/08/15</t>
  </si>
  <si>
    <t>福岡(Fukuoka)</t>
  </si>
  <si>
    <t>赴杭州參加第二屆亞際青年學者論壇並於會後至上海訪問</t>
  </si>
  <si>
    <t>00027997
計畫尚在執行中，待計畫結束後，一併繳交出國報告。</t>
  </si>
  <si>
    <t>美國的文明化任務及其轉化：《今日世界》於冷戰時期華文世界所扮演的角色與影響_105-2410-H-001-069-MY3</t>
  </si>
  <si>
    <t>赴中國廣州執行科技部計畫「美國的文明化任務及其轉化」之出席國際會議，發表題目為「余光中翻譯The Old Man and the Sea的前世與今生」</t>
  </si>
  <si>
    <t>00031815
計畫尚在執行中，待計畫結束後，一併繳交出國報告。</t>
  </si>
  <si>
    <t>105/10/28-105/11/04</t>
  </si>
  <si>
    <t>赴廣東外語外貿大學出席中國比較文學學會中美比較文化研究會之「第十屆年會暨學術研討會」，並於會中發表主題演講</t>
  </si>
  <si>
    <t>前往中國南京執行科技部計畫【書寫離散‧離散書寫：哈金個案研究】，蒐集有關南京大屠殺的相關資料，並與學者專家交換研究心得，以利探討亞美文學中所再現的南京大屠殺與其他相關議題。</t>
  </si>
  <si>
    <t>00027592
計畫尚在執行中，待計畫結束後，一併繳交出國報告。</t>
  </si>
  <si>
    <t>赴中國北京執行科技部計畫【書寫離散‧離散書寫：哈金個案研究】之移地研究，蒐集有關南京大屠殺的相關資料，並與學者專家交換研究心得，以利探討亞美文學中所再現的南京大屠殺與其他相關議題。</t>
  </si>
  <si>
    <t>00028479
計畫尚在執行中，待計畫結束後，一併繳交出國報告。</t>
  </si>
  <si>
    <t>執行科技部計畫「書寫離散‧離散書寫：哈金個案研究」之出席國際會議，前往美國邁阿密參加亞美研究學會舉辦之會議。</t>
  </si>
  <si>
    <t>105/04/19-105/05/04</t>
  </si>
  <si>
    <t>邁阿密(Miami,Florida) 紐約市(New York,New York)</t>
  </si>
  <si>
    <t>此次會議主題與本人科技部專題計畫密切相關，故擬將部分研究成果於會議中先行發表。</t>
  </si>
  <si>
    <t>105/06/20-105/07/04</t>
  </si>
  <si>
    <t>執行科技部計畫「書寫離散‧離散書寫：哈金個案研究」赴波蘭華沙出席 10th Biennial MESEA Conference</t>
  </si>
  <si>
    <t>出席在越南河內舉行之亞洲國際法學會，並且蒐集相關資料且學術交流。</t>
  </si>
  <si>
    <t>105/06/11-105/06/16</t>
  </si>
  <si>
    <r>
      <t xml:space="preserve">00028312
</t>
    </r>
    <r>
      <rPr>
        <sz val="7"/>
        <color indexed="8"/>
        <rFont val="細明體"/>
        <family val="3"/>
      </rPr>
      <t>計畫尚在執行中，待計畫結束後，一併繳交出國報告。</t>
    </r>
  </si>
  <si>
    <r>
      <t xml:space="preserve">00029181
</t>
    </r>
    <r>
      <rPr>
        <sz val="7"/>
        <color indexed="8"/>
        <rFont val="細明體"/>
        <family val="3"/>
      </rPr>
      <t>計畫尚在執行中，待計畫結束後，一併繳交出國報告。</t>
    </r>
  </si>
  <si>
    <r>
      <t xml:space="preserve">00029417
</t>
    </r>
    <r>
      <rPr>
        <sz val="7"/>
        <color indexed="8"/>
        <rFont val="細明體"/>
        <family val="3"/>
      </rPr>
      <t>計畫尚在執行中，待計畫結束後，一併繳交出國報告。</t>
    </r>
  </si>
  <si>
    <t>105/12/18-105/12/27</t>
  </si>
  <si>
    <t>移地研究</t>
  </si>
  <si>
    <t>應邀至加州大學柏克萊分校與史丹福大學進行專題演講</t>
  </si>
  <si>
    <t>為「教育不平等對失能發生壓縮與每次失能持續時間之影響」計畫，赴日本進行移地研究、收集資料。</t>
  </si>
  <si>
    <t>執行科技部計畫【自然法則：美國早期有機農業書寫】之移地研究，前往美國舊金山與柏克萊蒐集美國六○年代有機農業起源的資料。</t>
  </si>
  <si>
    <t>於義大利佛羅倫斯、荷蘭阿姆斯特丹、比利時布魯塞爾等地，蒐集資料且學術交流。</t>
  </si>
  <si>
    <t>執行科技部計畫「書寫離散‧離散書寫：哈金個案研究」之移地研究，前往美國紐約蒐集相關資料。</t>
  </si>
  <si>
    <t>赴德國柏林洪堡大學（Humboldt Universität）短期訪問。</t>
  </si>
  <si>
    <t>執行科技部計畫「後記憶：歐大旭與陳團榮的小說（III-III）」(104-2410-H-001-061)之移地研究。</t>
  </si>
  <si>
    <t>「當代藝術變色龍：一個雙年展的觀點」：本計畫透過實地參觀雙年展的田野調查、訪問相關策展人與主辦單位以收集第一手資料，並輔以審慎閱讀處理相關的文獻。另一方面同時整理藝術家參展的資料及各雙年展的策展資料作為統計分析，以SPSS分析這些藝術家及策展人所具有的時代意義及流動現象。</t>
  </si>
  <si>
    <t>執行科技部計畫「歐洲議會在歐盟對外協定的影響力之研究(104-2410-H-001-052-MY2)」。</t>
  </si>
  <si>
    <t>Surviving Democracy—Mitigating Climate Change in a Neoliberalized World</t>
  </si>
  <si>
    <t>這個計畫旨在以「後記憶」（postmemory）的理論探討歐大旭（Tash Aw）與陳團英（Tan Twan Eng）的小說。兩人的小說多半涉及歷史記憶，這些記憶又與暴力和創傷有關。此次移地研究主要赴紐約蒐集研究資料，並與相關領域的學者晤談。此外此行也有意了解歷經九一一恐怖攻擊後的紐約如何走出暴力與創傷的記憶。</t>
  </si>
  <si>
    <t>應邀至Asia Society Northern California Center、加州大學柏克萊分校與史丹福大學進行專題演講</t>
  </si>
  <si>
    <r>
      <t xml:space="preserve">00032972
</t>
    </r>
    <r>
      <rPr>
        <sz val="7"/>
        <color indexed="8"/>
        <rFont val="細明體"/>
        <family val="3"/>
      </rPr>
      <t>計畫尚在執行中，待計畫結束後，一併繳交出國報告。</t>
    </r>
  </si>
  <si>
    <r>
      <t xml:space="preserve">00030633
</t>
    </r>
    <r>
      <rPr>
        <sz val="7"/>
        <color indexed="8"/>
        <rFont val="細明體"/>
        <family val="3"/>
      </rPr>
      <t>計畫尚在執行中，待計畫結束後，一併繳交出國報告。</t>
    </r>
  </si>
  <si>
    <r>
      <t xml:space="preserve">00029196
</t>
    </r>
    <r>
      <rPr>
        <sz val="7"/>
        <color indexed="8"/>
        <rFont val="細明體"/>
        <family val="3"/>
      </rPr>
      <t>計畫尚在執行中，待計畫結束後，一併繳交出國報告。</t>
    </r>
  </si>
  <si>
    <r>
      <t xml:space="preserve">00032394
</t>
    </r>
    <r>
      <rPr>
        <sz val="7"/>
        <color indexed="8"/>
        <rFont val="細明體"/>
        <family val="3"/>
      </rPr>
      <t>計畫尚在執行中，待計畫結束後，一併繳交出國報告。</t>
    </r>
  </si>
  <si>
    <r>
      <t xml:space="preserve">00028312
</t>
    </r>
    <r>
      <rPr>
        <sz val="7"/>
        <color indexed="8"/>
        <rFont val="細明體"/>
        <family val="3"/>
      </rPr>
      <t>計畫尚在執行中，待計畫結束後，一併繳交出國報告。</t>
    </r>
  </si>
  <si>
    <r>
      <t xml:space="preserve">00028839
</t>
    </r>
    <r>
      <rPr>
        <sz val="7"/>
        <color indexed="8"/>
        <rFont val="細明體"/>
        <family val="3"/>
      </rPr>
      <t>計畫尚在執行中，待計畫結束後，一併繳交出國報告。</t>
    </r>
  </si>
  <si>
    <t>陳何女士助產士筆記書出版與解讀計畫</t>
  </si>
  <si>
    <t>解讀班長期成員陳雅苓女士(國立政治大學台灣史研究所博士班研究生)，受計畫主持人指派赴日本出席"5th young scholar forum for medical history in Asia"，並於會中發表論文及進行解讀班工作經驗分享。</t>
  </si>
  <si>
    <t>105/03/02-105/03/06</t>
  </si>
  <si>
    <t>長崎(Nagasaki)</t>
  </si>
  <si>
    <t>執行科技部專題研究計畫，前往俄羅斯聖彼得堡大學出席第21屆歐洲漢學會議，並於會中發表〈Conflict and the aboriginal-boundary Policy of the Qing Empire: The Purlpe aboriginal-boundary Map of 1784〉一文，出國期間將至聖彼得堡國家圖書館、檔案館、博物館及大學圖書館蒐集所需研究資料。</t>
  </si>
  <si>
    <t>105/08/20-105/08/31</t>
  </si>
  <si>
    <t>偕同計畫項下共同主持人鄭麗珍教授、黃秀端教授、新增之講師助教級人員曾齡儀博士以及專任助理郭怡棻、黃靖玫等人前往日本近畿地區、山口縣等地，參訪當地社會創新組織與社會創新機構，進行經驗交流，並收集相關文獻案例，深度分析其運作模式以及社會影響力，以供國內實踐工作團隊與研究者參考。</t>
  </si>
  <si>
    <t>執行科技部研究計畫「由遊廓重見近代澎湖社會：殖民地軍港城市的行政運作與買賣春業」，前往韓國首爾之韓國近現代學會及首爾大學等單位收集所需研究資料。</t>
  </si>
  <si>
    <t>隨同總計畫主持人謝國興研究員及計畫項下共同主持人鄭麗珍教授、黃秀端教授以及專任助理郭怡棻、黃靖玫等人前往日本近畿地區、山口縣等地，參訪當地社會創新組織與社會創新機構，進行經驗交流，並收集相關文獻案例，深度分析其運作模式以及社會影響力，以供國內實踐工作團隊與研究者參考。</t>
  </si>
  <si>
    <t>隨同計畫主持人謝國興研究員及計畫項下共同主持人鄭麗珍教授、新增之講師助教級人員曾齡儀博士以及專任助理郭怡棻、黃靖玫等人前往日本近畿地區、山口縣等地，參訪當地社會創新組織與社會創新機構，進行經驗交流，並收集相關文獻案例，深度分析其運作模式以及社會影響力，以供國內實踐工作團隊與研究者參考。</t>
  </si>
  <si>
    <t>隨同科技部「人文創新與社會實踐資料庫建置計畫」(MOST 102-2420-H-001-011-MY3)計畫主持人謝國興研究員及計畫項下共同主持人鄭麗珍教授、黃秀端教授、新增之講師助教級人員曾齡儀博士以及專任助理郭怡棻等人前往日本近畿地區、山口縣等地，參訪當地社會創新組織與社會創新機構，進行經驗交流，並收集相關文獻案例，深度分析其運作模式以及社會影響力，以供國內實踐工作團隊與研究者參考。</t>
  </si>
  <si>
    <t>為執行科技部專題研究計畫「由『臺灣物』來看近現代的臺灣－－『民謠』、空間、文化認同、國家統合」(MOST 105-2410-H-001-099-MY2)，將前往日本東京早稻田大學、神保町古書街等地蒐集所需研究資料並進行相關人員的訪談交流。</t>
  </si>
  <si>
    <t>為執行科技部專題研究計畫「為權力或是為權利?臺灣日治時期法律社群研究」需要，赴日本東京國會圖書館與國立公文書館等機構蒐集所需研究資料。</t>
  </si>
  <si>
    <t>隨同科技部「人文創新與社會實踐資料庫建置計畫」(MOST 102-2420-H-001-011-MY3)總計畫主持人謝國興研究員及計畫項下共同主持人鄭麗珍教授、黃秀端教授、新增之講師助教級人員曾齡儀博士以及專任助理黃靖玫等人前往日本近畿地區、山口縣等地，參訪當地社會創新組織與社會創新機構，進行經驗交流，並收集相關文獻案例，深度分析其運作模式以及社會影響力，以供國內實踐工作團隊與研究者參考。</t>
  </si>
  <si>
    <t>隨同計畫主持人謝國興研究員及計畫項下共同主持人黃秀端教授、新增之講師助教級人員曾齡儀博士以及專任助理郭怡棻、黃靖玫等人前往日本近畿地區、山口縣等地，參訪當地社會創新組織與社會創新機構，進行經驗交流，並收集相關文獻案例，深度分析其運作模式以及社會影響力，以供國內實踐工作團隊與研究者參考。</t>
  </si>
  <si>
    <t>科技部計畫結餘款再運用－劉士永研究員(600008)</t>
  </si>
  <si>
    <t>105/01/29-105/02/15</t>
  </si>
  <si>
    <t>科技部計畫結餘款再運用(600004)</t>
  </si>
  <si>
    <t>105/03/24-105/03/27</t>
  </si>
  <si>
    <t>島根</t>
  </si>
  <si>
    <t>科技部補助專題研究計畫結餘款再運用(謝國興研究員600004)項下</t>
  </si>
  <si>
    <t>105/09/13-105/09/23</t>
  </si>
  <si>
    <t>塞維亞 馬德里(Madrid) 托雷多</t>
  </si>
  <si>
    <t>105/09/13-105/09/22</t>
  </si>
  <si>
    <t>應日本島根大學亞太歷史文化中心與北京大學歷史文化資源研究所邀請，前往島根大學出席「日、美、中之間經濟、文化與醫療的流動：地域創生國際學術研討會」，並於會中發表〈台灣民間信仰中的日本記憶〉)一文。</t>
  </si>
  <si>
    <t>隨同本所謝國與所長前往西班牙相關檔案典藏機構，執行與本所合作之「十六、十七世紀有關中國之南歐史料(一)西班牙數位檔案資料庫建構計畫」，以進行洽談文獻授權及合作典藏之相關事務。</t>
  </si>
  <si>
    <t>隨同本所謝國與所長、國立清華大學歷史學研究所李毓中助理教授，前往西班牙相關檔案典藏機構，以協助執行「十六、十七世紀有關中國之南歐史料(一)西班牙數位檔案資料庫建構計畫」之洽談文獻授權及合作典藏之相關事務。</t>
  </si>
  <si>
    <t>執行「十六、十七世紀有關中國之南歐史料(一)西班牙數位檔案資料庫建構計畫」，與國立清華大學歷史研究所李毓中助理教授、本所特殊性約聘技術人員蔡幸真小姐，赴西班牙相關檔案典藏機構，洽談文獻授權及合作典藏事宜。</t>
  </si>
  <si>
    <t>赴美國匹茲堡Saint Vincent College進行參與計畫之工作會議及發表二場專題演講</t>
  </si>
  <si>
    <t>謝國興所長項下結餘款再運用(600004)</t>
  </si>
  <si>
    <t>前往加拿大多倫多地區，出席「北美台灣研究學會第二十二屆年會」暨口述歷史工作坊，並於會後參訪多倫多大學社會創新中心等單位，以進行經驗分享事宜。</t>
  </si>
  <si>
    <t>105/06/07-105/06/18</t>
  </si>
  <si>
    <t>多倫多(Toronto)</t>
  </si>
  <si>
    <t>執行科技部專題研究計畫「跨政權下的帝國商人：以十九世紀的臺南郊商為中心」(MOST 104-2410-H-001-036)，預計於105年4月20日起至30日期間，由廈門大學台灣研究院黃俊淩教授帶領前往中國泉州、廈門、漳州等地進行田野考察，並至廈門大學、晉江檔案館以及廈門大學鄭振滿教授處查詢相關的碑文和文獻及蒐集相關資料。</t>
  </si>
  <si>
    <t>執行科技部專題研究計畫「大武山兩側、恆春半島之人群、經濟活動與社會秩序(1600-1900)，預定於105年4月23日起至4月26日期間，前往大陸甘肅蘭州西北師範大學蒐集該單位典藏之臺灣輿圖資料。</t>
  </si>
  <si>
    <t>運用網格空間單元分析疾病之時空變化－台灣疾病轉型時空演變－健康歷史(子計畫三)</t>
  </si>
  <si>
    <t>為研究需要，赴大陸上海大學圖書館蒐集「1950年代的上海外灘改建規劃書」相關檔案。</t>
  </si>
  <si>
    <t>105/01/14-105/01/16</t>
  </si>
  <si>
    <t>20160701-20160731休假 20160801-20160831受邀至Muenster University移地研究 20160901-20161031休假 20161101-20170131受邀至Muenster University移地研究</t>
  </si>
  <si>
    <t>105/07/01-106/01/31</t>
  </si>
  <si>
    <t>000009李志豪結餘款</t>
  </si>
  <si>
    <t>3/29-4/1 受邀至京都大學移地研究 4/2-4/4 受邀參加Taiwan-Japan Joint Workshop on Inverse Problem 4/5-4/6 受邀至京都大學移地研究</t>
  </si>
  <si>
    <t>105/03/29-105/04/06</t>
  </si>
  <si>
    <t>計畫結餘款再運用-000012黃一樵</t>
  </si>
  <si>
    <t>000007鄭日新計畫結餘款再利用</t>
  </si>
  <si>
    <t>000014余家富結餘款</t>
  </si>
  <si>
    <t>12/15-12/18受邀至北京清華大學移地研究 12/19-12/23受邀參加「Master Lectures-- Subfactors and Mathematical Physics: Vaughan Jones 」</t>
  </si>
  <si>
    <t>105/12/15-105/12/23</t>
  </si>
  <si>
    <t>000016吳德琪結餘款</t>
  </si>
  <si>
    <t>受邀參加「The Fourth International Conference:“Nonlinear Waves - Theory and Applications」</t>
  </si>
  <si>
    <t>計畫結餘款再運用-000010周文賢</t>
  </si>
  <si>
    <t>2016/6/19-6/22受邀參加 The 7th International Workshop on Finite Fields and their Applications 2016/6/23-6/29受邀至南京航空航天大學移地研究</t>
  </si>
  <si>
    <t>105/06/19-105/06/29</t>
  </si>
  <si>
    <t>天津(Tianjin) 南京(Nanjing)</t>
  </si>
  <si>
    <t>計畫結餘款再運用-000009李志豪</t>
  </si>
  <si>
    <t>受邀參加「The Fourth international conference: “Nonlinear waves -Theory and Applications”」</t>
  </si>
  <si>
    <t>000007鄭日新結餘款</t>
  </si>
  <si>
    <t>受邀至中國科學園移地研究</t>
  </si>
  <si>
    <t>105/05/22-105/05/29</t>
  </si>
  <si>
    <t>105/03/28-105/04/11</t>
  </si>
  <si>
    <t>計畫結餘款再運用-葉永南</t>
  </si>
  <si>
    <t>受邀至中國上海交通大學移地研究</t>
  </si>
  <si>
    <t>105/12/16-105/12/30</t>
  </si>
  <si>
    <t>105/11/27-105/12/04</t>
  </si>
  <si>
    <t>赴希臘Chania,Crete出席國際會議並發表論文。</t>
  </si>
  <si>
    <t>赴日本首都大學東京(Tokyo Metropolitan University)出席會議(日本天文學會2016年春季年會)及發表論文，並於會前於東京大學進行學術研究。</t>
  </si>
  <si>
    <t>赴日本東京之首都大學東京出席會議(日本天文學會2016年春季年會)、及發表論文並於會前進行學術研討。</t>
  </si>
  <si>
    <t>受邀赴美國薛倫斯維爾出席會議(NAASC workshop-Molecular Gas in Galactic Environments)及演講，並於會前至美國維吉尼亞大學進行學術研究。</t>
  </si>
  <si>
    <t>受邀赴美國薛倫斯維爾出席會議(NAASC workshop-Molecular Gas in Galactic Environments))、擔任大會科學委員(SOC)並進行演講。。</t>
  </si>
  <si>
    <t>受邀赴印度斯利那加(Srinagar)出席國際會議並發表論文、演講。</t>
  </si>
  <si>
    <t>赴希臘Chania,Crete出席國際會議(Supernova Remnants: An Odyssey In Space After Stellar )並發表論文。</t>
  </si>
  <si>
    <t>赴法國尼斯出席CFHT UM2016(Canada-France-Hawaii Telescope)會議並發表論文，會後接續參加89th Meeting of the Canada-France-Hawaii Telescope Scientific Advisory Council以報告在臺天文計畫研究發展進度。</t>
  </si>
  <si>
    <t>赴英國愛丁堡出席國際會議(SPIE Astronomical Telescopes + Instrumentation)並發表論文。</t>
  </si>
  <si>
    <t>赴西班牙馬拉加(Malaga)出席國際會議並發表論文。</t>
  </si>
  <si>
    <t>赴希臘雅典出席國際會議並發表論文。</t>
  </si>
  <si>
    <t>受邀赴越南歸仁市(Quy Nhon)出席會議並演講。</t>
  </si>
  <si>
    <t>赴美國新墨西哥州索科羅(Socorro)美國國家電波天文台(NRAO)參與2016 NRAO USERS COMMITTEE MEETING及ALMA North America Science Advisory Committee (ANASAC) meeting進行學術研討。另，轉赴美國威斯康辛大學麥迪遜分校(University of Wisconsin-Madison)出席會議並發表論文。</t>
  </si>
  <si>
    <t>赴奧地利維也納擔任ALMA觀測計畫書審查委員，後前往瑞士伯恩大學(University of Bern)進行計畫相關學術研究。另，於瑞士達弗斯出席國際會議(Exoplanets I)並發表論文。</t>
  </si>
  <si>
    <t>赴越南歸仁市(Quy Nhon)出席會議並發表論文。</t>
  </si>
  <si>
    <t>赴澳洲凱恩斯(Cairns)出席國際會議並發表論文。</t>
  </si>
  <si>
    <t>赴瑞典烏普薩拉出席國際會議(COOL STARS 19)並發表論文。</t>
  </si>
  <si>
    <t>受邀赴美國Dartmouth College(達特茅斯學院)出席會議並發表論文。</t>
  </si>
  <si>
    <t>赴南韓首爾出席會議(The 10th East-Asia Meeting on Astronomy)並發表論文。</t>
  </si>
  <si>
    <t>受邀赴南韓首爾出席國際會議(2016 URSI Asia-Pacific Radio Science Conference)並演講。</t>
  </si>
  <si>
    <t>赴日本仙台市(Sendai)出席會議(The 9th meeting on Cosmic Dust)並發表論文。</t>
  </si>
  <si>
    <t>赴墨西哥墨西哥城出席會議並發表論文。</t>
  </si>
  <si>
    <t>受邀赴南韓首爾出席會議(The 10th East-Asia Meeting on Astronomy)並演講。</t>
  </si>
  <si>
    <t>受邀赴南韓首爾出席會議、演講，並報告本所在臺天文研究發展近況。</t>
  </si>
  <si>
    <t>受邀赴美國印第安維爾斯(Indian Wells)出席會議並演講，會後前往美國新墨西哥州索科羅(Socorro)美國國家電波天文台(NRAO)參與CASA Users Committee face-to-face meeting，以報告本所在臺研究及發展進度。</t>
  </si>
  <si>
    <t>赴美國印第安維爾斯(Indian Wells)出席會議並發表論文，於會後轉赴日本東京大學(The University of Tokyo)及筑波大學進行(ALMA, SMA, 河外星系的星際物質、活躍星系核、與恆星形成)計畫相關學術研討。</t>
  </si>
  <si>
    <t>赴德國慕尼黑出席會議(Multiple Faces of Interstellar Dust)並發表論文。</t>
  </si>
  <si>
    <t>赴日本廣島International Conference Center Hiroshima,(ICCH)出席國際會議，並發表論文。</t>
  </si>
  <si>
    <t>赴美國印第安維爾斯(Indian Wells)及南韓首爾出席會議並發表論文。</t>
  </si>
  <si>
    <t>赴美國帕莎蒂娜出席國際會議(The joint 48th meeting of the Division for Planetary Sciences and 11th European Planetary Science Congress)並發表論文。</t>
  </si>
  <si>
    <t>赴美國帕莎蒂娜出席國際會議(The joint 48th meeting of the Division for Planetary Sciences and 11th European Planetary Science Congress)並發表論文。另，前往美國夏威夷希羅巿(Hilo)使用雙子星天文台進行觀測研究。</t>
  </si>
  <si>
    <t>赴中國大陸香港出席會議並發表論文。</t>
  </si>
  <si>
    <t>105/12/07-105/12/28</t>
  </si>
  <si>
    <t>105/12/10-105/12/31</t>
  </si>
  <si>
    <t>赴美國聖塔芭芭拉(Santa Barbara)加州大學聖塔芭芭拉分校The Kavli Institute for Theoretical Physics參與天文學術研究、出席會議並發表論文。</t>
  </si>
  <si>
    <t>赴日本相模原巿(Sagamihara)之宇宙航空研究開發機構宇宙科學研究部(JAXA/ISAS)進行地球空間中之能量與輻射計畫相關軟體研發及儀器校驗等技術研究。</t>
  </si>
  <si>
    <t>赴日本東京大學(The University of Tokyo)進行計畫相關學術研究。</t>
  </si>
  <si>
    <t>本所為發展「ALMA原型天線及機匣整合案:天線構型修改及組裝測試暨Band1接收機量產型整合測試」乙案，邀請中山科學研究院第一研究所馬鈞文工程師搭機前往美國紐約由美國國家警衛空中運輸協助飛至格陵蘭(Greenland)圖勒空軍基地(Thule Air Base)協助執行相關工作。</t>
  </si>
  <si>
    <t>本所為發展地球空間中之能量與輻射(ERG)計畫，邀請國立成功大學太空與電漿科學研究所張滋芳博士赴日本名古屋大學(ISEE 宇宙地球環境研究所)協助進行計畫相關儀器技術研究。</t>
  </si>
  <si>
    <t>赴美國大學公園市(College Park)馬里蘭大學學院市分校(The University of Maryland, College Park)進行阿塔卡瑪大型毫米及次毫米波陣列計畫(ALMA)相關學術交流。</t>
  </si>
  <si>
    <t>赴日本神奈川(Kanagawa) Meisei Electric公司進行地球空間中之能量與輻射(ERG)計畫相關儀器接收測試及技術研究。</t>
  </si>
  <si>
    <t>赴日本東京大學柏市(Kashiwa)校區之數物連攜宇宙研究機構(IPMU)進行廣角可見光相機Hyper Suprime-Cam（HSC）計畫相關學術研究並報告本所在臺研究進度。</t>
  </si>
  <si>
    <t>赴美國夏威夷希羅島(Hilo)速霸陸望遠鏡(Subaru Telescope)進行計畫相關觀測研究。</t>
  </si>
  <si>
    <t>本所為發展「ALMA原型天線及機匣整合案:天線構型修改及組裝測試暨Band1接收機量產型整合測試」乙案，邀請中山科學研究院第一研究所劉慶堂副研究員搭機前往美國紐約由美國國家警衛空中運輸協助飛至格陵蘭(Greenland)圖勒空軍基地(Thule Air Base)協助執行相關工作。</t>
  </si>
  <si>
    <t>本所為發展「ALMA原型天線及機匣整合案:天線構型修改及組裝測試暨Band1接收機量產型整合測試」乙案，邀請中山科學研究院第一研究所林仕航工程師搭機前往美國紐約由美國國家警衛空中運輸協助飛至格陵蘭(Greenland)圖勒空軍基地(Thule Air Base)協助執行相關工作。</t>
  </si>
  <si>
    <t>赴日本東京大學柏市(Kashiwa)校區之數物連攜宇宙研究機構(IPMU)進行廣角可見光相機Hyper Suprime-Cam（HSC）計畫相關學術研究並報告研究進度。</t>
  </si>
  <si>
    <t>赴日本國立天文台(NAOJ)之Mizusawa VLBI Observatory進行計畫相關學術研究，以利發展在臺研究計畫進度。</t>
  </si>
  <si>
    <t>赴加拿大維多利亞大學(University of Victoria)進行Prime Focus Spectroscopy計畫(PFS)相關學術研究，以利發展在臺計畫研究進度。</t>
  </si>
  <si>
    <t>赴日本東京工學院大學(Kogakuin University)、日本東京國立天文台(NAOJ)進行阿塔卡瑪大型毫米及次毫米波陣列計畫(ALMA)相關學術研究，後前往中國大陸中國科學院上海天文台(SHAO)參與JCMT望遠鏡計畫之研究討論。</t>
  </si>
  <si>
    <t>赴日本山口縣(Yamaguchi)參與日本野邊山宇宙電波觀測天文台(Nobeyama Radio Observatory)相關計畫(Annual core-member meeting for CO Multi-line Imaging of Nearby Galaxies survey of NRO 45-m)學術研究。</t>
  </si>
  <si>
    <t>赴美國加州大學柏克萊分校協同天文研究學者進行計畫相關學術研究。</t>
  </si>
  <si>
    <t>赴美國夏威夷希羅島(Hilo)及美國維吉尼亞州諾福克市(Norfolk)，協助執行ALMA原型天線/格陵蘭望遠鏡(GLT)重組裝、檢測相關事宜及技術研討。</t>
  </si>
  <si>
    <t>赴日本相模原巿(Sagamihara)之宇宙航空研究開發機構宇宙科學研究部(JAXA/ISAS)進行地球空間中之能量與輻射(ERG)計畫相關天文推廣，並協助台灣電視團隊進行採訪相關事宜。</t>
  </si>
  <si>
    <t>赴美國夏威夷希羅島(Hilo)、夏威夷大學天文所及日本東京國立天文台(NAOJ)進行Subaru HSC/超大質量黑洞跟它們在星系演化中扮演的角色(II)計畫相關觀測研究與學術研究。</t>
  </si>
  <si>
    <t>美國夏威夷希羅巿(Hilo)訪視JCMT望遠鏡相關運轉情形並進行學術研究。</t>
  </si>
  <si>
    <t>赴日本東京國立天文台(NAOJ)進行計畫相關觀測研究。</t>
  </si>
  <si>
    <t>受邀赴日本東北大學(Tohoku University)進行學術研究並演講。</t>
  </si>
  <si>
    <t>赴德國慕尼黑進行Prime Focus Spectroscopy(PFS)計畫學術交流，後轉赴瑞士伯恩進行學術研究，以利發展在臺計畫研究進度。</t>
  </si>
  <si>
    <t>赴美國普林斯頓大學(Princeton University)進行Prime Focus Spectroscopy(PFS)計畫相關軟體技術研究，以利發展在臺研究計畫進度。</t>
  </si>
  <si>
    <t>赴美國加州大學柏克萊分校協同天文研究學者進行計畫(恆星盤、噴流、分子流之成功ALMA模擬)相關學術研究。</t>
  </si>
  <si>
    <t>本所為發展「ALMA原型天線及機匣整合案:天線構型修改及組裝測試暨Band1接收機量產型整合測試」乙案，邀請中山科學研究院第一研究所劉慶堂副研究員搭機前往美國紐約，由美國國家警衛空中運輸協助飛至格陵蘭(Greenland)圖勒空軍基地(Thule Air Base)協助執行相關工作。</t>
  </si>
  <si>
    <t>赴日本National Institute of Technology, Ichinoseki College進行天文計畫相關學術研究。</t>
  </si>
  <si>
    <t>赴日本鹿兒島Uchinoura Space Center (USC),Institute of Space and Astronautical Science 進行地球空間中之能量與輻射計畫(ERG 衛星開發研究)相關軟體研發及儀器校驗等技術研究。</t>
  </si>
  <si>
    <t>赴日本鹿兒島Uchinoura Space Center (USC), Institute of Space and Astronautical Science 進行地球空間中之能量與輻射計畫(ERG 衛星開發研究)相關軟體研發及儀器校驗等技術研究。</t>
  </si>
  <si>
    <t>赴美國加州大學洛杉磯分校(UCLA)及加州理工學院(Caltech)進行阿塔卡瑪大型毫米及次毫米波陣列計畫(ALMA)相關學術研究及學術演講，後轉赴中國大陸中國科學院上海天文台(SHAO)參與JCMT望遠鏡計畫之研究討論。</t>
  </si>
  <si>
    <t>赴日本東京國立天文台(NAOJ)進行ALMA polarisation計畫相關學術研究，並報告本所在臺研究計畫發展進度。</t>
  </si>
  <si>
    <t>赴美國夏威夷毛納基峰使用JCMT望遠鏡進行觀測事宜。</t>
  </si>
  <si>
    <t>赴巴西里約熱內盧The National Observatory進行計畫相關學術研究，以利發展在臺研究計畫進度。</t>
  </si>
  <si>
    <t>赴日本名古屋大學(Nagoya University)進行地球空間中之能量與輻射(ERG)計畫相關學術研究，以利發展在臺研究計畫進度。</t>
  </si>
  <si>
    <t>赴智利訪問ESO天文台及ALMA天文台運作情形，進行計畫相關學術交流，以利後續合作交流。</t>
  </si>
  <si>
    <t>應邀赴智利參加ALMA董事會及報告本所在臺天文研究計畫發展現況，並訪問ESO天文台及ALMA總部運作情形，以利進行相關合作交流。</t>
  </si>
  <si>
    <t>應邀赴智利參加ALMA董事會，並訪問ESO天文台及ALMA總部運作情形，以利進行相關合作交流。</t>
  </si>
  <si>
    <t>本所為發展「ALMA原型天線及機匣整合案:天線構型修改及組裝測試暨Band1接收機量產型整合測試」乙案，邀請中山科學研究院系統發展中心張松助跨國計畫副主持人搭機前往美國紐約由美國國家警衛空中運輸協助飛至格陵蘭(Greenland)圖勒空軍基地(Thule Air Base)協助執行相關工作。</t>
  </si>
  <si>
    <t>赴美國夏威夷希羅巿(Hilo)進行李遠哲陣列望遠鏡計畫(YTLA)相關學術研究，並報告本所在臺研究計畫發展進度。</t>
  </si>
  <si>
    <t>赴美國巴爾的摩約翰·霍普金斯大學(Johns Hopkins University)參與PFS collaboration meeting，進行學術研究，並報告本所在臺研究計畫發展進度。</t>
  </si>
  <si>
    <t>赴美國維吉尼亞州諾福克市協助執行ALMA原型天線/格陵蘭望遠鏡(GLT)重組裝及檢測。</t>
  </si>
  <si>
    <t>赴美國維吉尼亞州諾福克市協助執行ALMA原型天線/格陵蘭望遠鏡(GLT)重組裝、檢測及運送事宜。</t>
  </si>
  <si>
    <t>赴美國帕莎蒂娜加州理工學院NASA Jet Propulsion Laboratory、美國加州大學柏克萊分校及美國史丹佛大學The Kavli Institute for Particle Astrophysics and Cosmology進行Time-Pilot and other 21cm計畫相關學術研究。</t>
  </si>
  <si>
    <t>赴美國帕莎蒂娜加州理工學院NASA Jet Propulsion Laboratory進行Time-Pilot計畫、10/17轉赴美國西維吉尼亞州Green Bank美國國家電波天文台(NRAO)進行GBT 800MHz Hydrogen Intensity Mapping計畫相關學術研究。</t>
  </si>
  <si>
    <t>赴美國夏威夷希羅島(Hilo)參與天文計畫(從格陵蘭看黑洞)籌備拍攝紀錄片相關事宜，以利推廣、發展在臺研究計畫進度。</t>
  </si>
  <si>
    <t>赴日本鹿兒島Uchinoura Space Center Institute of Space and Astronautical Science機構進行地球空間中之能量與輻射計畫衛星發射儀式相關前置作業。</t>
  </si>
  <si>
    <t>赴智利聖地牙哥進行阿塔卡瑪大型毫米及次毫米波陣列計畫(ALMA)相關學術研究，以利發展在臺研究計畫進度。</t>
  </si>
  <si>
    <t>赴日本鹿兒島Uchinoura Space Center Institute of Space and Astronautical Science機構參與地球空間中之能量與輻射計畫衛星發射儀式。</t>
  </si>
  <si>
    <t>赴美國夏威夷希羅巿(Hilo)進行JCMT望遠鏡相關學術研討，並奉派前往美國薛倫斯維爾(Charlottesville)美國國家電波天文台(NRAO)探視本院病危院士。</t>
  </si>
  <si>
    <t>赴美國帕莎蒂娜加州理工學院NASA Jet Propulsion Laboratory、美國夏威夷希羅巿(Hilo)及美國紐約Center for Computational Astrophysics機構進行Time-Pilot計畫、李遠哲陣列望遠鏡計畫相關學術研究，以利發展在臺研究計畫進度。</t>
  </si>
  <si>
    <t>赴美國夏威夷毛納基峰使用JCMT望遠鏡進行觀測研究。</t>
  </si>
  <si>
    <t>赴美國亞利桑那大學(The University of Arizona)參與REIONIZATION LENSING CLUSTER SURVEY交流討論會進行 計畫相關學術研究。</t>
  </si>
  <si>
    <t>赴荷蘭萊頓天文台(Leiden Observatory)會同Alexander Tielens博士進行計畫(Atacama 大型毫米/次毫米陣列-台灣計畫)相關學術研究。</t>
  </si>
  <si>
    <t>赴荷蘭萊頓天文台(Leiden Observatory)會同Alexander Tielens博士進行計畫(大小麥哲倫星雲中物質的生命週期 )相關學術研究。</t>
  </si>
  <si>
    <t>赴智利拉塞雷納(La Serena)Cerro Pachón山峰使用Goodman光譜儀進行天文觀測。</t>
  </si>
  <si>
    <t>赴日本鹿兒島大學天文物理系(Department of Physics and Astronomy, Kagoshima University)進行阿塔卡瑪大型毫米及次毫米波陣列計畫(ALMA)相關學術研討。</t>
  </si>
  <si>
    <t>赴美國夏威夷毛納基峰使用JCMT望遠鏡進行觀測及學術研討事宜。</t>
  </si>
  <si>
    <t>受邀赴日本東京大學天文所出席ALMA相關研討會，進行學術演講並參與學術研究。</t>
  </si>
  <si>
    <t>赴美國夏威夷加法夏望遠鏡機構(CFHT)協同天文學者進行天文研究並熟悉計畫相關新天文儀器，並前往毛納基峰使用JCMT望遠鏡進行觀測研究。</t>
  </si>
  <si>
    <t>赴日本東京大學及日本東京國立天文台(NAOJ)進行計畫(ALMA, SMA, 河外星系的星際物質、活躍星系核、與恆星形成 )相關學術研討。</t>
  </si>
  <si>
    <t>赴荷蘭萊頓天文台(Leiden Observatory)進行特長基線干涉儀計畫(VLBI)相關學術研討及交流。</t>
  </si>
  <si>
    <t>赴泰國清邁協同National Astronomical Research Institute of Thailand(NARIT)天文研究學者進行計畫(利用電波干涉儀研究位於M87中心超大質量黑洞的相對論性噴流與吸積流)相關學術研討。</t>
  </si>
  <si>
    <t>受邀赴日本東京國立天文台(NAOJ)參與ALMA計畫之研討會(Ultra-High Resolution Observation with Phased-ALMA)並進行計畫相關學術研討。</t>
  </si>
  <si>
    <t>受邀赴日本東京大學宇宙線研究所進行學術演講、交流並參與計畫(用次毫米望遠鏡首度觀測黑洞剪影)相關研討。</t>
  </si>
  <si>
    <t>赴日本大阪府立大學(Osaka Prefecture University)進行計畫(透過整合理論與ALMA,GLT的觀測來探討宇宙塵的起源和進化)相關學術研討並研究。</t>
  </si>
  <si>
    <t>赴日本東京國立天文台(NAOJ)出席JCMT望遠鏡使用者會議並進行天文學術研究。</t>
  </si>
  <si>
    <t>赴德國杜伊斯堡(Duisburg)之Vertex公司進行ALMA原型機/格陵蘭望遠鏡(GLT)計畫相關技術討論及研究。</t>
  </si>
  <si>
    <t>赴日本東京國立天文台(NAOJ)參與JCMT望遠鏡使用者會議進行學術研究。</t>
  </si>
  <si>
    <t>赴日本大阪府立大學(Osaka Prefecture University)進行計畫(ALAM,SMA, 河外星系的星際物質、活躍星系核、與恆星形成)相關學術研討並研究。</t>
  </si>
  <si>
    <t>赴美國維吉尼亞州諾福克市協助安排ALMA原型天線/格陵蘭望遠鏡(GLT)重組裝及檢測相關工作人力規劃。</t>
  </si>
  <si>
    <t>赴美國薛倫斯維爾(Charlottesville)美國國家電波天文台(NRAO)進行ALMA 計畫相關技術研究，並前往美國維吉尼亞州諾福克市(Norfolk)，協助執行ALMA原型天線/格陵蘭望遠鏡(GLT)重組裝、檢測相關事宜。</t>
  </si>
  <si>
    <t>赴西班牙格拉納達(Granada)Instituto de Astrofísica de Andalucía-CSIC機構進行天文計畫(尋找Ia型超新星起源的線索)相關學術研究。</t>
  </si>
  <si>
    <t>至格陵蘭(Greenland)圖勒空軍基地(Thule Air Base)進行ALMA原型機/格陵蘭望遠鏡重組裝事宜。</t>
  </si>
  <si>
    <t>赴美國加州理工學院NASA Jet Propulsion Laboratory進行(以ALMA第一次解析原恆星噴流的旋轉)計畫相關學術交流。</t>
  </si>
  <si>
    <t>赴美國加州理工學院、加州大學柏克萊分校及史丹佛大學進行(偏極化光與磁場在不同尺度下的研究：從ALMA陣列到JCMT天線)計畫相關學術研究。</t>
  </si>
  <si>
    <t>赴美國維吉尼亞州諾福克市協助執行ALMA原型天線/格陵蘭望遠鏡(GLT)重組裝及檢測。</t>
  </si>
  <si>
    <t>赴美國夏威夷希羅島(Hilo)速霸陸望遠鏡(Subaru Telescope)進行Prime Focus Spectroscopy計畫(PFS)電控箱維護及相關技術研發。</t>
  </si>
  <si>
    <t>赴美國加州大學柏克萊分校協同天文研究學者進行高等理論天文物理研究(TIARA)相關學術研究。</t>
  </si>
  <si>
    <t>赴智利聖地牙哥The Joint ALMA Observatory(JAO)進行計畫(ALAM,SMA, 河外星系的星際物質、活躍星系核、與恆星形成)相關學術研究。</t>
  </si>
  <si>
    <t>赴南韓大田之Korea Astronomy and Space Science Institute(KASI)進行相關學術研究。</t>
  </si>
  <si>
    <t>赴法國尼斯參與Second SPIRou science meeting以進行天文計畫相關學術研究。</t>
  </si>
  <si>
    <t>赴日本東京大學之Kavli Institute for the Physics and Mathematics of the Universe (Kavli IPMU)天文機構及日本東京國立天文台(NAOJ)進行計畫(剖析星系及所處暗物質暈之關聯)相關學術研究。</t>
  </si>
  <si>
    <t>赴英國倫敦瑪麗王后大學(Queen Mary University of London)、荷蘭萊頓大學（Universiteit Leiden）進行學術研究以利促進天文學術合作，並前往法國尼斯參與Second SPIRou science meeting以進行計畫相關學術研討。</t>
  </si>
  <si>
    <t>赴日本鹿兒島大學天文物理系進行雙星系統研究相關學術研討。</t>
  </si>
  <si>
    <t>赴荷蘭萊頓天文台(Leiden Observatory)進行學術演講及計畫相關學術研究。</t>
  </si>
  <si>
    <t>赴美國夏威夷希羅島(Hilo)速霸陸望遠鏡(Subaru Telescope)進行Prime Focus Spectroscopy計畫(PFS)電控箱量測及相關技術研發。</t>
  </si>
  <si>
    <t>赴日本東京國立天文台(NAOJ)進行Prime Focus Spectroscopy(PFS)計畫天文儀器相關零件檢驗事宜及技術研究。</t>
  </si>
  <si>
    <t>赴日本仙台東北大學出席2016銀河進化研究會並參與學術討論，後前往松山市愛媛大學進行計畫相關學術研討，以利發展在臺研究計畫進度。</t>
  </si>
  <si>
    <r>
      <t xml:space="preserve">00032781
</t>
    </r>
    <r>
      <rPr>
        <sz val="10"/>
        <rFont val="細明體"/>
        <family val="3"/>
      </rPr>
      <t>實支</t>
    </r>
    <r>
      <rPr>
        <sz val="10"/>
        <rFont val="Calibri"/>
        <family val="2"/>
      </rPr>
      <t>$117,386</t>
    </r>
  </si>
  <si>
    <t>赴大陸中國科學院上海天文台(SHAO)出席SDSS-IV/MaNGA Collaboration Meeting ，並發表論文。</t>
  </si>
  <si>
    <t>受邀赴中國大陸貴陽出席會議(East Asia VLBI Workshop 2016)、擔任科學委員(SOC)並發表論文。</t>
  </si>
  <si>
    <t>受邀赴中國大陸北京大學科維理天文與天體物理研究所(KIAA)出席會議並演講。</t>
  </si>
  <si>
    <t>赴中國大陸貴陽出席會議(East Asia VLBI Workshop 2016)並發表論文。</t>
  </si>
  <si>
    <t>赴中國大陸北京大學出席會議(IAU Symposium 323 - Planetary nebulae: Multi-wavelength probes of stellar and galactic evolution)並發表論文。</t>
  </si>
  <si>
    <r>
      <t>00026711
104</t>
    </r>
    <r>
      <rPr>
        <sz val="7"/>
        <rFont val="細明體"/>
        <family val="3"/>
      </rPr>
      <t>年度應付帳款</t>
    </r>
    <r>
      <rPr>
        <sz val="7"/>
        <rFont val="Calibri"/>
        <family val="2"/>
      </rPr>
      <t xml:space="preserve">, </t>
    </r>
    <r>
      <rPr>
        <sz val="7"/>
        <rFont val="細明體"/>
        <family val="3"/>
      </rPr>
      <t>基金帳核銷為「大陸旅費」，因公核銷為「國外旅費」</t>
    </r>
  </si>
  <si>
    <r>
      <t>00026708
104</t>
    </r>
    <r>
      <rPr>
        <sz val="7"/>
        <rFont val="細明體"/>
        <family val="3"/>
      </rPr>
      <t>年度應付帳款</t>
    </r>
    <r>
      <rPr>
        <sz val="7"/>
        <rFont val="Calibri"/>
        <family val="2"/>
      </rPr>
      <t xml:space="preserve">, </t>
    </r>
    <r>
      <rPr>
        <sz val="7"/>
        <rFont val="細明體"/>
        <family val="3"/>
      </rPr>
      <t>基金帳核銷為「大陸旅費」，因公核銷為「國外旅費」</t>
    </r>
  </si>
  <si>
    <t>赴中國大陸烏魯木齊中國科學院新疆天文台進行計畫相關觀測研究，以利發展在臺研究計畫進度。</t>
  </si>
  <si>
    <t>105/12/23-105/12/28</t>
  </si>
  <si>
    <t>近鄰紅矮星周圍行星的形成機制和大氣研究(兩岸合作研究：太陽系天體與系外行星系統，系外行星、行星形成與演化)_MOST 105-2119-M-001-043-MY3</t>
  </si>
  <si>
    <t>赴中國大陸南京大學進行(近鄰紅矮星周圍行星的形成機制和大氣研究)計畫相關學術研究，以利發展在臺研究計畫進度。</t>
  </si>
  <si>
    <t>105/12/25-105/12/28</t>
  </si>
  <si>
    <t>造山作用變形構造的長期演育機制分析(三)：活斷層，節理，岩石熱歷史，塊體旋轉_MOST104-2116-M-001-020</t>
  </si>
  <si>
    <t>105/04/16-105/04/23</t>
  </si>
  <si>
    <t>奧地利(Austria)</t>
  </si>
  <si>
    <t>花東縱谷孕震特性之研究(III)_MOST104-2116-M-001-002</t>
  </si>
  <si>
    <t>105/04/16-105/04/30</t>
  </si>
  <si>
    <t>研發模擬單邊隱沒地函楔形體內的對流之新方法_MOST104-2116-M-001-026</t>
  </si>
  <si>
    <t>105/04/16-105/04/24</t>
  </si>
  <si>
    <t>極端環境下之聲子超快動力學研究_NSC103-2112-M-001-001-MY3</t>
  </si>
  <si>
    <t>104/12/12-104/12/21</t>
  </si>
  <si>
    <t>104/12/09-104/12/19</t>
  </si>
  <si>
    <t>舊金山(San Francisco,California) 史丹佛(Stanford,California)</t>
  </si>
  <si>
    <t>亞洲增生與碰撞大地構造研究整合型計劃－II總計畫--解碼古地函：中亞造山帶蛇綠岩的地球化學研究_NSC102-2628-M-001-006--MY4</t>
  </si>
  <si>
    <t>橫濱(Yokohama)</t>
  </si>
  <si>
    <t>台灣地震前兆分析與理論模式之潛在防災應用－台灣地震前兆分析與理論模式之潛在防災應用_MOST104-2119-M-001-004</t>
  </si>
  <si>
    <t>104/12/13-104/12/20</t>
  </si>
  <si>
    <t>第二期能源國家型科技計畫地熱與天然氣水合物主軸中心之推動及管理計畫(III)_MOST105-3113-F-001-001</t>
  </si>
  <si>
    <t>105/04/10-105/04/17</t>
  </si>
  <si>
    <t>德國(Germany)</t>
  </si>
  <si>
    <t>基爾 (Kiel)</t>
  </si>
  <si>
    <t>利用地震波形研究震源參數_MOST104-2116-M-001-011</t>
  </si>
  <si>
    <t>104/12/07-104/12/24</t>
  </si>
  <si>
    <t>冰衛星之地體動力與演化：不均勻潮汐加熱之效應_MOST104-2116-M-001-012</t>
  </si>
  <si>
    <t>105/04/11-105/04/17</t>
  </si>
  <si>
    <t>探討4g強震紀錄成因_MOST104-2116-M-001-009</t>
  </si>
  <si>
    <t>105/04/16-105/04/25</t>
  </si>
  <si>
    <t>105/04/11-105/04/20</t>
  </si>
  <si>
    <t>運用整合型同位素系統分析球粒隕石中富含鈣鋁的包裹物--以探討太陽系的起源及其最早的演化歷史-III_MOST104-2116-M-001-014</t>
  </si>
  <si>
    <t>105/06/25-105/07/02</t>
  </si>
  <si>
    <t>105/05/21-105/06/02</t>
  </si>
  <si>
    <t>千葉縣</t>
  </si>
  <si>
    <t>亞洲增生與碰撞大地構造研究整合型計劃－利用線性陣列與區域地震網觀測資料分析中南半島之地震活動與構造（III）_MOST104-2116-M-001-013</t>
  </si>
  <si>
    <t>台灣周圍地體構造的研究（３）－建構南海寬頻地震網與建立其海嘯監測預警系統（III）_MOST104-2116-M-001-005</t>
  </si>
  <si>
    <t>105/04/15-105/04/30</t>
  </si>
  <si>
    <t>台灣中央山脈的構造地形與發震構造研究(III)_MOST103-2116-M-001-002</t>
  </si>
  <si>
    <t>以SKS及PKP波到時探討地球外核頂部與底部速度結構異常_MOST104-2116-M-001-019</t>
  </si>
  <si>
    <t>104/12/11-105/01/04</t>
  </si>
  <si>
    <t>104/12/12-105/01/04</t>
  </si>
  <si>
    <t>舊金山(San Francisco,California) 紐約市(New York,New York)</t>
  </si>
  <si>
    <t>由哈薩克，挪威及日本案例探討碰撞／隱沒帶之溶(熔)液－岩石交互作用_MOST104-2116-M-001-017</t>
  </si>
  <si>
    <t>臺灣GPSS連續觀測資料與環境因子，地表變形及斷層暫態滑移之關聯性及其物理過程_MOST104-2628-M-001-008-MY4</t>
  </si>
  <si>
    <t>105/08/23-105/09/04</t>
  </si>
  <si>
    <t>南非共和國(South Africa Rep)</t>
  </si>
  <si>
    <t>105/06/18-105/06/27</t>
  </si>
  <si>
    <t>台灣地前兆分析與理論模式之潛在防災應用(II)_MOST105-2119-M-001-010</t>
  </si>
  <si>
    <t>105/06/26-105/07/03</t>
  </si>
  <si>
    <t>大屯火山群地下岩漿庫研究之初探_MOST105-2119-M-001-012</t>
  </si>
  <si>
    <t>105/06/27-105/07/02</t>
  </si>
  <si>
    <t>多偵測器感應耦合電漿質譜儀在特提斯造山帶火成岩岩石成因上的應用_MOST103-2116-M-001-027-MY3</t>
  </si>
  <si>
    <t>探討氣候變遷對台灣地區侵蝕風化作用及海洋酸化之影響_MOST104-2628-M-001-007-MY3</t>
  </si>
  <si>
    <t>105/06/24-105/07/01</t>
  </si>
  <si>
    <t>105/07/24-105/08/13</t>
  </si>
  <si>
    <t>法國(France)</t>
  </si>
  <si>
    <t>Nantes</t>
  </si>
  <si>
    <t>建立研究微小礦物與微小構造之樣品備製與分析方法_MOST104-2116-M-001-016</t>
  </si>
  <si>
    <t>105/08/27-105/09/06</t>
  </si>
  <si>
    <t>京都(Kyoto) 岡山</t>
  </si>
  <si>
    <t>花東縱谷中段之近斷層變形監測研究(I)_MOST104-2116-M-001-023</t>
  </si>
  <si>
    <t>105/09/03-105/09/19</t>
  </si>
  <si>
    <t>義大利(Italy)</t>
  </si>
  <si>
    <t>的里雅斯德</t>
  </si>
  <si>
    <t>105/11/17-105/11/21</t>
  </si>
  <si>
    <t>泰國(Thailand)</t>
  </si>
  <si>
    <t>清邁(Chiang mai)</t>
  </si>
  <si>
    <t>越過西藏（ＩＩ）：亞洲造山演化與大陸板塊構造的新視野（１／５）_MOST105-2745-M-001-002-ASP</t>
  </si>
  <si>
    <t>105/09/25-105/10/08</t>
  </si>
  <si>
    <t>印尼(Indonesia)</t>
  </si>
  <si>
    <t>蘇拉維西及巴里島</t>
  </si>
  <si>
    <t>105/10/30-105/11/05</t>
  </si>
  <si>
    <t>Oita大分Beppu別府市 福岡(Fukuoka)</t>
  </si>
  <si>
    <t>105/10/22-105/10/27</t>
  </si>
  <si>
    <t>越南(Vietnam)</t>
  </si>
  <si>
    <t>河內(Hanoi)</t>
  </si>
  <si>
    <t>台灣地區雙隱沒帶之地幔構造與流場2/3_MOST104-2116-M-001-024</t>
  </si>
  <si>
    <t>105/07/23-105/08/06</t>
  </si>
  <si>
    <t>南特</t>
  </si>
  <si>
    <t>105/10/20-105/10/28</t>
  </si>
  <si>
    <t>Sacramento</t>
  </si>
  <si>
    <t>臺俄(RU)國合計畫－中亞之造山帶演化與氣候變遷_MOST104-2923-M-001-003-MY3</t>
  </si>
  <si>
    <t>105/12/11-105/12/19</t>
  </si>
  <si>
    <t>105/06/23-105/07/02</t>
  </si>
  <si>
    <t>105/07/03-105/08/12</t>
  </si>
  <si>
    <t>法國(France) 瑞士(Switzerland)</t>
  </si>
  <si>
    <t>Nantes 蘇黎世(Zurich)</t>
  </si>
  <si>
    <t>建立大台北與北台灣山區地震觀測網_MOST104-2116-M-001-004</t>
  </si>
  <si>
    <t>105/11/22-105/12/01</t>
  </si>
  <si>
    <t>尋找與研究帶有不明核子分化效應之富含鈣鋁之包裹物_MOST105-2116-M-001-021</t>
  </si>
  <si>
    <t>105/11/26-105/12/19</t>
  </si>
  <si>
    <t>舊金山(San Francisco,California) 波士頓(Boston,Massachuseetts)</t>
  </si>
  <si>
    <t>105/12/03-105/12/29</t>
  </si>
  <si>
    <t>舊金山(San Francisco,California) 華盛頓特區(Washington)</t>
  </si>
  <si>
    <t>利用地震矩及經驗格林函數研究台灣地震源_MOST105-2116-M-001-012</t>
  </si>
  <si>
    <t>105/09/22-105/10/01</t>
  </si>
  <si>
    <t>全球地震及測地學探索地球自由振盪模式和環南極地轉流的洋面變化_MOST104-2116-M-001-006</t>
  </si>
  <si>
    <t>105/12/11-105/12/29</t>
  </si>
  <si>
    <t>台奧雙邊會議"從跨領域的角度來看氣候變遷－將來發展的遠景二" MOST105-2911-I-001-504</t>
  </si>
  <si>
    <t>105/04/11-105/04/18</t>
  </si>
  <si>
    <t>105/04/11-105/04/24</t>
  </si>
  <si>
    <t>105/04/11-105/04/23</t>
  </si>
  <si>
    <t>105/04/11-105/04/29</t>
  </si>
  <si>
    <t>科技部專案補助。編號：105-2914-I-001-017-A1</t>
  </si>
  <si>
    <t>由於全球變化探討南極洲時變重力的現象</t>
  </si>
  <si>
    <t>104/03/16-104/06/12</t>
  </si>
  <si>
    <t>東京(Tokyo) 京都(Kyoto) 熊本(Kumamoto)</t>
  </si>
  <si>
    <t>造山作用變形構造的長期演育機制分析(四)：活斷層，節理，岩石熱歷史，塊體旋轉_MOST105-2116-M-001-001</t>
  </si>
  <si>
    <t>台越(VN)國合計畫－以寬頻地震儀及連續GPS資料探討越南北部地區深部構造與現今地殼活動_NSC103-2923-M-001-001-MY3</t>
  </si>
  <si>
    <r>
      <t xml:space="preserve">00030991
</t>
    </r>
    <r>
      <rPr>
        <sz val="9"/>
        <color indexed="8"/>
        <rFont val="細明體"/>
        <family val="3"/>
      </rPr>
      <t>科技部專案補助款未要求繳交報告</t>
    </r>
  </si>
  <si>
    <t>參加 Goldschmidt conference 2016國際會議。</t>
  </si>
  <si>
    <t>參加2015American Geophysical Union (AGU) Fall Meeting及參訪Columbia University and Princeton University</t>
  </si>
  <si>
    <t>台灣及鄰近地區地體動力學研究－構建南海寬頻地震網 與建立其海嘯監測預警系統</t>
  </si>
  <si>
    <t>台灣及鄰近地區地體動力學研究－構建南海寬頻地震網與建立其海嘯監測預警系統</t>
  </si>
  <si>
    <t>義大利里亞斯特2016ESC歐洲地震委員會35屆大會(The 35th General Assembly of the ESC 2016)</t>
  </si>
  <si>
    <t>參加義大利里亞斯特2016 ESC歐洲地震委員會35屆大會(The 35th General Assembly of the ESC 2016) 參與會議並發表論文</t>
  </si>
  <si>
    <t>105/09/03-105/09/11</t>
  </si>
  <si>
    <t>參加義大利里亞斯特2016E SC歐洲地震委員會35屆大會(The 35th General Assembly of the ESC 2016) 及發表論文</t>
  </si>
  <si>
    <t>105/08/27-105/09/11</t>
  </si>
  <si>
    <t>前往美國蒙特婁ARI公司的核融合裝置為參考模型,將參與操作實驗裝置,並討論建立數值模擬模型的細節.</t>
  </si>
  <si>
    <t>科技部計畫"Alpha-Ring 熱核反應及能量轉換裝置:理論及電腦模擬研究"是以Alpha Ring International (ARI)公司的核融合裝置為參考模型,根據此裝置建立理論與數值模擬模型來研究核融合,此次前往ARI將參與操作實驗裝置,並討論建立數值模擬模型的細節.</t>
  </si>
  <si>
    <t>赴奧地利維也納參加EGU大會</t>
  </si>
  <si>
    <t>赴南非開普敦參加第35屆國際地質大會。</t>
  </si>
  <si>
    <t>105/08/27-105/09/04</t>
  </si>
  <si>
    <t>赴美國加州大學聖芭芭拉分校訪問研究</t>
  </si>
  <si>
    <t>105/03/26-105/04/11</t>
  </si>
  <si>
    <t>赴奧地利維也納參加EGU大會,將發表在震源破裂過程近即時反演系統的發展方面所取得的成果，並與同行交流，學習與了解該領域目前國際上的最新發展。</t>
  </si>
  <si>
    <t>赴南非開普敦參加第35屆國際地質大會，發表論文。</t>
  </si>
  <si>
    <t>研究發展三維模型中震源破裂過程的自動反演系統。該系統目前已經可以適用於地震觀測記錄，下一步將嘗試結合GPS觀測記錄達到地震與GPS觀測聯合即時反演震源破裂過程。</t>
  </si>
  <si>
    <t>花蓮台東地區測站維護</t>
  </si>
  <si>
    <t>105/01/24-105/01/27</t>
  </si>
  <si>
    <t>台灣</t>
  </si>
  <si>
    <t>花蓮台東</t>
  </si>
  <si>
    <r>
      <rPr>
        <sz val="9"/>
        <color indexed="8"/>
        <rFont val="細明體"/>
        <family val="3"/>
      </rPr>
      <t>造山作用變形構造的長期演育機制分析</t>
    </r>
    <r>
      <rPr>
        <sz val="9"/>
        <color indexed="8"/>
        <rFont val="Calibri"/>
        <family val="2"/>
      </rPr>
      <t>(</t>
    </r>
    <r>
      <rPr>
        <sz val="9"/>
        <color indexed="8"/>
        <rFont val="細明體"/>
        <family val="3"/>
      </rPr>
      <t>二</t>
    </r>
    <r>
      <rPr>
        <sz val="9"/>
        <color indexed="8"/>
        <rFont val="Calibri"/>
        <family val="2"/>
      </rPr>
      <t>)</t>
    </r>
    <r>
      <rPr>
        <sz val="9"/>
        <color indexed="8"/>
        <rFont val="細明體"/>
        <family val="3"/>
      </rPr>
      <t>：活斷層，節理，岩石熱歷史，塊體旋轉</t>
    </r>
    <r>
      <rPr>
        <sz val="9"/>
        <color indexed="8"/>
        <rFont val="Calibri"/>
        <family val="2"/>
      </rPr>
      <t>_MOST103-2116-M-001-005</t>
    </r>
  </si>
  <si>
    <t>赴大陸北京參加13th Asia Oceania Geosciences Society (AOGS)會議並帶隊參展介紹台灣地震科學中心近年成果</t>
  </si>
  <si>
    <t>105/08/01-105/08/05</t>
  </si>
  <si>
    <t>赴大陸北京參加13th Asia Oceania Geosciences Society (AOGS)會議及協助台灣地震科學中心參展介紹中心近年成果</t>
  </si>
  <si>
    <t>前往中國科學技術大學進行兩岸地球物理學交流訪問研究</t>
  </si>
  <si>
    <t>前往武漢大學測繪學院地球物理系進行研究 (進行地面相對重力觀測站的資料分析,及學習超導重力儀儀器設置與操作)</t>
  </si>
  <si>
    <t>105/06/10-105/06/20</t>
  </si>
  <si>
    <t>前往合肥"中國科學技術大學"進行學術訪問研究</t>
  </si>
  <si>
    <t>前往合肥"中國科學技術大學"進行學術訪問研究(利用理論地震學及全球大地測量數據討論地球深部動力學模式,另進一步與年輕學者交流,培養出此領域更好的研究方法)</t>
  </si>
  <si>
    <t>105/04/06-105/05/14</t>
  </si>
  <si>
    <r>
      <t xml:space="preserve">00030635
</t>
    </r>
    <r>
      <rPr>
        <sz val="10"/>
        <color indexed="8"/>
        <rFont val="細明體"/>
        <family val="3"/>
      </rPr>
      <t>報告於結案時一併繳交</t>
    </r>
  </si>
  <si>
    <t>赴俄羅斯聖彼得堡蒐集研究資料,並參加國際會議,發表論文。</t>
  </si>
  <si>
    <t>105/08/19-105/09/08</t>
  </si>
  <si>
    <t>赴日本大阪關西大學參加國際學術研討會,發表論文,並蒐集資料。</t>
  </si>
  <si>
    <t>105/01/22-105/01/25</t>
  </si>
  <si>
    <t>赴美國奧勒岡州 Portland 參加學術會議,發表論文。</t>
  </si>
  <si>
    <t>105/10/19-105/10/24</t>
  </si>
  <si>
    <t>波特蘭(Portland, Oregon)</t>
  </si>
  <si>
    <t>赴俄羅斯聖彼得堡參加國際學術會議,發表論文,並蒐集資料。</t>
  </si>
  <si>
    <t>105/08/21-105/09/08</t>
  </si>
  <si>
    <r>
      <t xml:space="preserve">00030807
</t>
    </r>
    <r>
      <rPr>
        <sz val="10"/>
        <color indexed="8"/>
        <rFont val="細明體"/>
        <family val="3"/>
      </rPr>
      <t>報告於結案時一併繳交</t>
    </r>
  </si>
  <si>
    <r>
      <t>培育科技菁英計畫</t>
    </r>
    <r>
      <rPr>
        <sz val="10"/>
        <color indexed="8"/>
        <rFont val="Calibri"/>
        <family val="2"/>
      </rPr>
      <t>-</t>
    </r>
    <r>
      <rPr>
        <sz val="10"/>
        <color indexed="8"/>
        <rFont val="細明體"/>
        <family val="3"/>
      </rPr>
      <t>中國文哲研究所</t>
    </r>
  </si>
  <si>
    <t>獲本院人文社會科學組年輕學者赴國外進修補助，帶職帶薪赴美國哈佛大學進修</t>
  </si>
  <si>
    <r>
      <t xml:space="preserve">00031225
</t>
    </r>
    <r>
      <rPr>
        <sz val="8.5"/>
        <color indexed="8"/>
        <rFont val="細明體"/>
        <family val="3"/>
      </rPr>
      <t>跨年度計畫執行中於結案時繳交</t>
    </r>
  </si>
  <si>
    <r>
      <t xml:space="preserve">00025217
</t>
    </r>
    <r>
      <rPr>
        <sz val="10"/>
        <color indexed="8"/>
        <rFont val="細明體"/>
        <family val="3"/>
      </rPr>
      <t>報告於結案時一併繳交</t>
    </r>
  </si>
  <si>
    <r>
      <t xml:space="preserve">00028938
</t>
    </r>
    <r>
      <rPr>
        <sz val="10"/>
        <color indexed="8"/>
        <rFont val="細明體"/>
        <family val="3"/>
      </rPr>
      <t>執行中</t>
    </r>
    <r>
      <rPr>
        <sz val="10"/>
        <color indexed="8"/>
        <rFont val="Calibri"/>
        <family val="2"/>
      </rPr>
      <t>,</t>
    </r>
    <r>
      <rPr>
        <sz val="10"/>
        <color indexed="8"/>
        <rFont val="細明體"/>
        <family val="3"/>
      </rPr>
      <t>報告於結案繳交</t>
    </r>
  </si>
  <si>
    <r>
      <t xml:space="preserve">00030278
</t>
    </r>
    <r>
      <rPr>
        <sz val="10"/>
        <color indexed="8"/>
        <rFont val="細明體"/>
        <family val="3"/>
      </rPr>
      <t>報告於結案時一併繳交</t>
    </r>
  </si>
  <si>
    <r>
      <t xml:space="preserve">00031079
</t>
    </r>
    <r>
      <rPr>
        <sz val="10"/>
        <color indexed="8"/>
        <rFont val="細明體"/>
        <family val="3"/>
      </rPr>
      <t>報告於結案時繳交</t>
    </r>
  </si>
  <si>
    <r>
      <t xml:space="preserve">00029867
</t>
    </r>
    <r>
      <rPr>
        <sz val="10"/>
        <color indexed="8"/>
        <rFont val="細明體"/>
        <family val="3"/>
      </rPr>
      <t>報告於結案時繳交</t>
    </r>
  </si>
  <si>
    <t>應邀赴美國加州大學戴維斯分校講學及研究</t>
  </si>
  <si>
    <t>赴日本名古屋蒐集資料</t>
  </si>
  <si>
    <t>赴法國里昂、巴黎、狄戎（Dijon)等地蒐集資料,參加國際學術會議發表論文,並擔任博士論文口試委員。</t>
  </si>
  <si>
    <t>赴德國法蘭克福歌德大學研究,並參加學術活動</t>
  </si>
  <si>
    <r>
      <t xml:space="preserve">00028373
</t>
    </r>
    <r>
      <rPr>
        <sz val="8"/>
        <color indexed="8"/>
        <rFont val="細明體"/>
        <family val="3"/>
      </rPr>
      <t>多年期計畫</t>
    </r>
    <r>
      <rPr>
        <sz val="8"/>
        <color indexed="8"/>
        <rFont val="Calibri"/>
        <family val="2"/>
      </rPr>
      <t>,</t>
    </r>
    <r>
      <rPr>
        <sz val="8"/>
        <color indexed="8"/>
        <rFont val="細明體"/>
        <family val="3"/>
      </rPr>
      <t>報告於結案時一併繳交</t>
    </r>
  </si>
  <si>
    <r>
      <t xml:space="preserve">00030415
</t>
    </r>
    <r>
      <rPr>
        <sz val="8.5"/>
        <color indexed="8"/>
        <rFont val="細明體"/>
        <family val="3"/>
      </rPr>
      <t>多年期計畫</t>
    </r>
    <r>
      <rPr>
        <sz val="8.5"/>
        <color indexed="8"/>
        <rFont val="Calibri"/>
        <family val="2"/>
      </rPr>
      <t>,</t>
    </r>
    <r>
      <rPr>
        <sz val="8.5"/>
        <color indexed="8"/>
        <rFont val="細明體"/>
        <family val="3"/>
      </rPr>
      <t>報告於結案時一併繳交</t>
    </r>
  </si>
  <si>
    <r>
      <t xml:space="preserve">00030730
</t>
    </r>
    <r>
      <rPr>
        <sz val="8.5"/>
        <color indexed="8"/>
        <rFont val="細明體"/>
        <family val="3"/>
      </rPr>
      <t>多年期計畫</t>
    </r>
    <r>
      <rPr>
        <sz val="8.5"/>
        <color indexed="8"/>
        <rFont val="Calibri"/>
        <family val="2"/>
      </rPr>
      <t>,</t>
    </r>
    <r>
      <rPr>
        <sz val="8.5"/>
        <color indexed="8"/>
        <rFont val="細明體"/>
        <family val="3"/>
      </rPr>
      <t>報告於結案時繳交</t>
    </r>
  </si>
  <si>
    <r>
      <t xml:space="preserve">00030190
</t>
    </r>
    <r>
      <rPr>
        <sz val="7"/>
        <color indexed="8"/>
        <rFont val="細明體"/>
        <family val="3"/>
      </rPr>
      <t>主持人於</t>
    </r>
    <r>
      <rPr>
        <sz val="7"/>
        <color indexed="8"/>
        <rFont val="Calibri"/>
        <family val="2"/>
      </rPr>
      <t>105</t>
    </r>
    <r>
      <rPr>
        <sz val="7"/>
        <color indexed="8"/>
        <rFont val="細明體"/>
        <family val="3"/>
      </rPr>
      <t>年</t>
    </r>
    <r>
      <rPr>
        <sz val="7"/>
        <color indexed="8"/>
        <rFont val="Calibri"/>
        <family val="2"/>
      </rPr>
      <t>9</t>
    </r>
    <r>
      <rPr>
        <sz val="7"/>
        <color indexed="8"/>
        <rFont val="細明體"/>
        <family val="3"/>
      </rPr>
      <t>月赴美進修一年</t>
    </r>
    <r>
      <rPr>
        <sz val="7"/>
        <color indexed="8"/>
        <rFont val="Calibri"/>
        <family val="2"/>
      </rPr>
      <t>,</t>
    </r>
    <r>
      <rPr>
        <sz val="7"/>
        <color indexed="8"/>
        <rFont val="細明體"/>
        <family val="3"/>
      </rPr>
      <t>本應於結案</t>
    </r>
    <r>
      <rPr>
        <sz val="7"/>
        <color indexed="8"/>
        <rFont val="Calibri"/>
        <family val="2"/>
      </rPr>
      <t>10/31</t>
    </r>
    <r>
      <rPr>
        <sz val="7"/>
        <color indexed="8"/>
        <rFont val="細明體"/>
        <family val="3"/>
      </rPr>
      <t>前繳交</t>
    </r>
    <r>
      <rPr>
        <sz val="7"/>
        <color indexed="8"/>
        <rFont val="Calibri"/>
        <family val="2"/>
      </rPr>
      <t>,</t>
    </r>
    <r>
      <rPr>
        <sz val="7"/>
        <color indexed="8"/>
        <rFont val="細明體"/>
        <family val="3"/>
      </rPr>
      <t>因時差導致延誤</t>
    </r>
    <r>
      <rPr>
        <sz val="7"/>
        <color indexed="8"/>
        <rFont val="Calibri"/>
        <family val="2"/>
      </rPr>
      <t>2</t>
    </r>
    <r>
      <rPr>
        <sz val="7"/>
        <color indexed="8"/>
        <rFont val="細明體"/>
        <family val="3"/>
      </rPr>
      <t>日</t>
    </r>
  </si>
  <si>
    <r>
      <t xml:space="preserve">00027336
</t>
    </r>
    <r>
      <rPr>
        <sz val="8"/>
        <color indexed="8"/>
        <rFont val="細明體"/>
        <family val="3"/>
      </rPr>
      <t>因科技部差旅報告可於結案時一併繳交</t>
    </r>
  </si>
  <si>
    <t>大阪(Osaka) 鳥取縣 東京(Tokyo) 三重縣</t>
  </si>
  <si>
    <r>
      <t xml:space="preserve">00026883
</t>
    </r>
    <r>
      <rPr>
        <sz val="10"/>
        <color indexed="8"/>
        <rFont val="細明體"/>
        <family val="3"/>
      </rPr>
      <t>報告於結案時一併繳交</t>
    </r>
  </si>
  <si>
    <r>
      <t xml:space="preserve">00028037
</t>
    </r>
    <r>
      <rPr>
        <sz val="10"/>
        <color indexed="8"/>
        <rFont val="細明體"/>
        <family val="3"/>
      </rPr>
      <t>本案補助總額</t>
    </r>
    <r>
      <rPr>
        <sz val="10"/>
        <color indexed="8"/>
        <rFont val="Calibri"/>
        <family val="2"/>
      </rPr>
      <t>70,000</t>
    </r>
    <r>
      <rPr>
        <sz val="10"/>
        <color indexed="8"/>
        <rFont val="細明體"/>
        <family val="3"/>
      </rPr>
      <t>元</t>
    </r>
  </si>
  <si>
    <t>第五十九屆永久性國際阿爾泰學會議(The 59th Annual Meeting of the Permanent International Altaistic Conference)</t>
  </si>
  <si>
    <t>Ardahan</t>
  </si>
  <si>
    <t>32nd South Asian Languages Analysis Roundtable</t>
  </si>
  <si>
    <t>105/04/25-105/05/01</t>
  </si>
  <si>
    <t>參加32nd South Asian Languages Analysis Roundtable</t>
  </si>
  <si>
    <t>105/04/23-105/05/02</t>
  </si>
  <si>
    <t>出席國際會議「Society for the Neurobiology of Language 2016 Annual Meeting」</t>
  </si>
  <si>
    <t>105/08/11-105/08/22</t>
  </si>
  <si>
    <t>105/08/15-105/08/24</t>
  </si>
  <si>
    <t>參加Fourth Workshop on Sino-Tibetan Languages of Southwest China(STLS-2016)</t>
  </si>
  <si>
    <t>105/09/07-105/09/13</t>
  </si>
  <si>
    <t>參加The 8th Speech Prosody Conference(Speech Prosody 2016)</t>
  </si>
  <si>
    <t>105/05/30-105/06/08</t>
  </si>
  <si>
    <t>參加國際口語溝通學會ISCA(International Speech Communication Association)</t>
  </si>
  <si>
    <t>105/09/02-105/09/13</t>
  </si>
  <si>
    <t>1.Data Collection at Guwahati University(1/4~1/6) 2.Workshop on Tone and Intonation-3(1/7~1/8)</t>
  </si>
  <si>
    <t>105/01/05-105/01/12</t>
  </si>
  <si>
    <t>Guwahati</t>
  </si>
  <si>
    <t>參加第十三屆青年學者國際學術研討會(The 13th International Young Scholar Symposium)</t>
  </si>
  <si>
    <t>105/10/14-105/10/18</t>
  </si>
  <si>
    <t>出席會議，並於會中發表論文</t>
  </si>
  <si>
    <t>105/10/12-105/10/20</t>
  </si>
  <si>
    <t>Llandudno</t>
  </si>
  <si>
    <t>出席國際學術會議，發表近期研究成果</t>
  </si>
  <si>
    <t>105/08/15-105/08/22</t>
  </si>
  <si>
    <t>本研究旨在以功能性磁振造影(functional magnetic resonance imaging, fMRI)與腦磁圖(magneto-encephalography, MEG) 兩項腦造影工具，探討兩種漢語的字形一致性(同音字密度與音形對應一致性)效果的負責腦區，以及這些腦區在時序上的活化歷程。</t>
  </si>
  <si>
    <t>105/04/01-105/04/08</t>
  </si>
  <si>
    <t>科技部補助國內專家學者出席國際學術會議,本論文主要報告本專題計畫中部份重要研究成果，重點在於跨語體漢語口語語料中語篇篇章韻律亮點的聚合，經由計算聚類韻律小句中感知韻律亮點配置，反映上層語篇篇章的韻律模式。研究更進一步探討影響聚類的因素，發現篇章中的信息配置主要受到語者規劃口語語句單位大小影響。</t>
  </si>
  <si>
    <t>105/05/29-105/06/11</t>
  </si>
  <si>
    <t>參加the Fourth Workshop on Sino-Tibetan Languages of Southwest China宣讀論文並且擔任scientific committee president及session chair</t>
  </si>
  <si>
    <t>Laboratoire Parole et Langage/Aix Marseille Université, Aix-en-Provence,France Nuance Communications GmbH, Aachen, Germany</t>
  </si>
  <si>
    <t>至印度Guwahati,中國成都田野調查</t>
  </si>
  <si>
    <t>1.EUROPEAN SUMMER SCHOOL IN LINGUISTIC TYPOLOGY(Typoling)2016 Porquerolles Hyères(France)09/04~0917 2.Paris Diderot(Paris 7) 09/03, 09/19, 09/23</t>
  </si>
  <si>
    <t>105/09/02-105/09/27</t>
  </si>
  <si>
    <t>參加歐洲語言類型協會的暑假課程並至巴黎第七大學參加口試(博導學位)</t>
  </si>
  <si>
    <t>客語動詞後置的「倒」、「到」、「得」比較研究_MOST103-2628-H-001-003-MY2</t>
  </si>
  <si>
    <t>參加第12屆客家方言國際學術研討會The 12th International Conference on Hakka Dialects</t>
  </si>
  <si>
    <t>科技部補助國內專家學者出席國際學術會議,補助編號105-2914-I-001-033-A1</t>
  </si>
  <si>
    <t>出席國際中國語言學學會第24屆年會發表論文。</t>
  </si>
  <si>
    <t>105/09/16-105/09/26</t>
  </si>
  <si>
    <t>延安</t>
  </si>
  <si>
    <t>參加第七屆西北方言與民俗國際學術研討會並受邀至陝西師範大學進行學術訪問</t>
  </si>
  <si>
    <t>參加第七屆西北方言與民俗國際學術研討會宣讀論文並於會後受邀至陝西師範大學進行學術訪問</t>
  </si>
  <si>
    <t>閩東方言田野調查</t>
  </si>
  <si>
    <t>至中國四川成都田野調查</t>
  </si>
  <si>
    <t>土石流啟動機制之水力學量測與模擬－降雨與表面入滲對坡面穩定性的效應_MOST 103-2221-E-001 -039 -MY3</t>
  </si>
  <si>
    <t>參加亞太地質年會 AOGS 2016</t>
  </si>
  <si>
    <t>韓謝忱研究助技師擬於105年8月赴大陸上海參加2016 Progress In Electromagnetics Research。補助編號：105-2914-I-001-032-A1</t>
  </si>
  <si>
    <t>參加上海所舉辦的國際會議(2016 Progress In Electromagnetics Research Symposium)，並在此會議作研究成果口頭報告。</t>
  </si>
  <si>
    <t>105/08/22-105/08/26</t>
  </si>
  <si>
    <t>104/10/09-104/10/11</t>
  </si>
  <si>
    <t>104/10/09-104/10/12</t>
  </si>
  <si>
    <t>105/06/24-105/07/05</t>
  </si>
  <si>
    <t>105/07/22-105/07/30</t>
  </si>
  <si>
    <t>105/08/14-105/08/17</t>
  </si>
  <si>
    <t>105/01/06-105/01/11</t>
  </si>
  <si>
    <t>105/04/06-105/04/12</t>
  </si>
  <si>
    <t>105/04/06-105/04/18</t>
  </si>
  <si>
    <t>105/08/31-105/09/06</t>
  </si>
  <si>
    <t>105/06/29-105/07/02</t>
  </si>
  <si>
    <t>105/11/03-105/11/06</t>
  </si>
  <si>
    <t>105/06/24-105/06/29</t>
  </si>
  <si>
    <r>
      <rPr>
        <sz val="10"/>
        <color indexed="8"/>
        <rFont val="新細明體"/>
        <family val="1"/>
      </rPr>
      <t>日本(Japan)</t>
    </r>
  </si>
  <si>
    <r>
      <rPr>
        <sz val="10"/>
        <color indexed="8"/>
        <rFont val="新細明體"/>
        <family val="1"/>
      </rPr>
      <t>國外旅費</t>
    </r>
  </si>
  <si>
    <r>
      <rPr>
        <sz val="10"/>
        <color indexed="8"/>
        <rFont val="新細明體"/>
        <family val="1"/>
      </rPr>
      <t>京都(Kyoto)</t>
    </r>
  </si>
  <si>
    <r>
      <rPr>
        <sz val="10"/>
        <color indexed="8"/>
        <rFont val="新細明體"/>
        <family val="1"/>
      </rPr>
      <t>能源價格補貼的政治經濟分析:制度、通貨膨脹與政治穩定_NSC102-2410-H-001-076-MY3</t>
    </r>
  </si>
  <si>
    <r>
      <rPr>
        <sz val="10"/>
        <color indexed="8"/>
        <rFont val="新細明體"/>
        <family val="1"/>
      </rPr>
      <t>波蘭(Poland)</t>
    </r>
  </si>
  <si>
    <r>
      <rPr>
        <sz val="10"/>
        <color indexed="8"/>
        <rFont val="新細明體"/>
        <family val="1"/>
      </rPr>
      <t>蒙古(Mongolia)</t>
    </r>
  </si>
  <si>
    <r>
      <rPr>
        <sz val="10"/>
        <color indexed="8"/>
        <rFont val="新細明體"/>
        <family val="1"/>
      </rPr>
      <t>威權國家的貿易政治經濟學探析_MOST 104-2410-H-001-002-MY2</t>
    </r>
  </si>
  <si>
    <r>
      <rPr>
        <sz val="10"/>
        <color indexed="8"/>
        <rFont val="新細明體"/>
        <family val="1"/>
      </rPr>
      <t>美國(U.S.A.)</t>
    </r>
  </si>
  <si>
    <r>
      <rPr>
        <sz val="10"/>
        <color indexed="8"/>
        <rFont val="新細明體"/>
        <family val="1"/>
      </rPr>
      <t>參加美國中西區政治學會年會，並發表論文(婦女保障名額與生涯規劃:以台灣為例)</t>
    </r>
  </si>
  <si>
    <r>
      <rPr>
        <sz val="10"/>
        <color indexed="8"/>
        <rFont val="新細明體"/>
        <family val="1"/>
      </rPr>
      <t>南韓(Korea)</t>
    </r>
  </si>
  <si>
    <r>
      <rPr>
        <sz val="10"/>
        <color indexed="8"/>
        <rFont val="新細明體"/>
        <family val="1"/>
      </rPr>
      <t>首爾(Seoul)</t>
    </r>
  </si>
  <si>
    <r>
      <rPr>
        <sz val="10"/>
        <color indexed="8"/>
        <rFont val="新細明體"/>
        <family val="1"/>
      </rPr>
      <t>臺灣與俄羅斯學術研討會(科技部雙邊協議下)</t>
    </r>
  </si>
  <si>
    <r>
      <rPr>
        <sz val="10"/>
        <color indexed="8"/>
        <rFont val="新細明體"/>
        <family val="1"/>
      </rPr>
      <t>俄羅斯(Russia)</t>
    </r>
  </si>
  <si>
    <r>
      <rPr>
        <sz val="10"/>
        <color indexed="8"/>
        <rFont val="新細明體"/>
        <family val="1"/>
      </rPr>
      <t>海參崴(Vladivostok)</t>
    </r>
  </si>
  <si>
    <r>
      <rPr>
        <sz val="10"/>
        <color indexed="8"/>
        <rFont val="新細明體"/>
        <family val="1"/>
      </rPr>
      <t>科技部補助國內專家學者出席國際學術會議 補助編號:105-2914-I-001-029-A1 補助金額:新台幣68,000元</t>
    </r>
  </si>
  <si>
    <r>
      <rPr>
        <sz val="10"/>
        <color indexed="8"/>
        <rFont val="新細明體"/>
        <family val="1"/>
      </rPr>
      <t>參加AAS in Asia年度會議</t>
    </r>
  </si>
  <si>
    <r>
      <t>(</t>
    </r>
    <r>
      <rPr>
        <sz val="10"/>
        <color indexed="8"/>
        <rFont val="新細明體"/>
        <family val="1"/>
      </rPr>
      <t>科技部雙邊協議下)臺灣與俄羅斯學術研討會</t>
    </r>
  </si>
  <si>
    <r>
      <rPr>
        <sz val="10"/>
        <color indexed="8"/>
        <rFont val="新細明體"/>
        <family val="1"/>
      </rPr>
      <t>獲邀參與日本政治學會2015年年會，並商討後續交流合作事宜與發表會議論文。</t>
    </r>
  </si>
  <si>
    <r>
      <rPr>
        <sz val="10"/>
        <color indexed="8"/>
        <rFont val="新細明體"/>
        <family val="1"/>
      </rPr>
      <t>東京(Tokyo)</t>
    </r>
  </si>
  <si>
    <r>
      <t xml:space="preserve">00029572
</t>
    </r>
    <r>
      <rPr>
        <sz val="9"/>
        <color indexed="8"/>
        <rFont val="新細明體"/>
        <family val="1"/>
      </rPr>
      <t>計畫未結案併期末報告一併繳交</t>
    </r>
  </si>
  <si>
    <r>
      <rPr>
        <sz val="9"/>
        <color indexed="8"/>
        <rFont val="新細明體"/>
        <family val="1"/>
      </rPr>
      <t>參加Asia Democracy Research Network Third Workshop，地點與時間為Ulaanbaatar, Mongolia on August 15-16, 2016.發表論文並參與討論。</t>
    </r>
  </si>
  <si>
    <r>
      <t xml:space="preserve">00030613
</t>
    </r>
    <r>
      <rPr>
        <sz val="9"/>
        <color indexed="8"/>
        <rFont val="新細明體"/>
        <family val="1"/>
      </rPr>
      <t>計畫未結案併期末報告一併繳交</t>
    </r>
  </si>
  <si>
    <r>
      <rPr>
        <sz val="9"/>
        <color indexed="8"/>
        <rFont val="新細明體"/>
        <family val="1"/>
      </rPr>
      <t>參加由國際政治學會所主辦之第24屆政治科學世界大會，發表論文乙篇，並參加全球民主動態調查專書編輯之工作會議。</t>
    </r>
  </si>
  <si>
    <r>
      <t xml:space="preserve">00029930
</t>
    </r>
    <r>
      <rPr>
        <sz val="9"/>
        <color indexed="8"/>
        <rFont val="新細明體"/>
        <family val="1"/>
      </rPr>
      <t>計畫未結案併期末報告一併繳交</t>
    </r>
  </si>
  <si>
    <r>
      <t xml:space="preserve">00026861
</t>
    </r>
    <r>
      <rPr>
        <sz val="9"/>
        <color indexed="8"/>
        <rFont val="新細明體"/>
        <family val="1"/>
      </rPr>
      <t>計畫未結案併期末報告一併繳交</t>
    </r>
  </si>
  <si>
    <r>
      <rPr>
        <sz val="9"/>
        <color indexed="8"/>
        <rFont val="新細明體"/>
        <family val="1"/>
      </rPr>
      <t>參加2016年美國政治科學年會，申請人受邀至台灣研究會議小組發表論文，題目為：「中國外交的轉型與對兩岸關係的啟示」。</t>
    </r>
  </si>
  <si>
    <r>
      <t xml:space="preserve">00032334
</t>
    </r>
    <r>
      <rPr>
        <sz val="9"/>
        <color indexed="8"/>
        <rFont val="新細明體"/>
        <family val="1"/>
      </rPr>
      <t>計畫未結案併期末報告一併繳交</t>
    </r>
  </si>
  <si>
    <r>
      <rPr>
        <sz val="10"/>
        <color indexed="8"/>
        <rFont val="新細明體"/>
        <family val="1"/>
      </rPr>
      <t>前往參加 AAS in Asia 2016 Annual Conference ，擔任其中一場的主持人及發表人。</t>
    </r>
  </si>
  <si>
    <r>
      <rPr>
        <sz val="10"/>
        <color indexed="8"/>
        <rFont val="新細明體"/>
        <family val="1"/>
      </rPr>
      <t>文化治理的政治經濟學:比較的觀點_NSC102-2410-H-001-075-MY3</t>
    </r>
  </si>
  <si>
    <r>
      <rPr>
        <sz val="10"/>
        <color indexed="8"/>
        <rFont val="新細明體"/>
        <family val="1"/>
      </rPr>
      <t>參加International Political Science Association 24th World Congress of Political Science 2016 發表論文</t>
    </r>
  </si>
  <si>
    <r>
      <rPr>
        <sz val="10"/>
        <color indexed="8"/>
        <rFont val="新細明體"/>
        <family val="1"/>
      </rPr>
      <t>波茲蘭(Poznan)</t>
    </r>
  </si>
  <si>
    <r>
      <rPr>
        <sz val="10"/>
        <color indexed="8"/>
        <rFont val="新細明體"/>
        <family val="1"/>
      </rPr>
      <t>烏蘭巴托(Ulaanbaatar)</t>
    </r>
  </si>
  <si>
    <r>
      <rPr>
        <sz val="10"/>
        <color indexed="8"/>
        <rFont val="新細明體"/>
        <family val="1"/>
      </rPr>
      <t>就與研究計畫主題相關之議題發表論文。</t>
    </r>
  </si>
  <si>
    <r>
      <rPr>
        <sz val="10"/>
        <color indexed="8"/>
        <rFont val="新細明體"/>
        <family val="1"/>
      </rPr>
      <t>鹽湖城</t>
    </r>
  </si>
  <si>
    <r>
      <rPr>
        <sz val="10"/>
        <color indexed="8"/>
        <rFont val="新細明體"/>
        <family val="1"/>
      </rPr>
      <t>中國印象調查研究_NSC102-2410-H-001-074-MY3</t>
    </r>
  </si>
  <si>
    <r>
      <rPr>
        <sz val="10"/>
        <color indexed="8"/>
        <rFont val="新細明體"/>
        <family val="1"/>
      </rPr>
      <t>芝加哥(Chicago,Illinois)</t>
    </r>
  </si>
  <si>
    <r>
      <rPr>
        <sz val="10"/>
        <color indexed="8"/>
        <rFont val="新細明體"/>
        <family val="1"/>
      </rPr>
      <t>國會肢體衝突之誘因:立法院1987-2016年之研究_MOST 104-2410-H-001-057-MY2</t>
    </r>
  </si>
  <si>
    <r>
      <rPr>
        <sz val="10"/>
        <color indexed="8"/>
        <rFont val="新細明體"/>
        <family val="1"/>
      </rPr>
      <t>中國外交的變與不變：從外交政策分析途徑檢視中國大陸的強勢外交_MOST 104-2410-H-001-095</t>
    </r>
  </si>
  <si>
    <r>
      <rPr>
        <sz val="10"/>
        <color indexed="8"/>
        <rFont val="新細明體"/>
        <family val="1"/>
      </rPr>
      <t>費城(Philadelphia,Pennsylvania)</t>
    </r>
  </si>
  <si>
    <r>
      <rPr>
        <sz val="10"/>
        <color indexed="8"/>
        <rFont val="新細明體"/>
        <family val="1"/>
      </rPr>
      <t>赴韓國政治學會發表會議論文，發表研究論文為本案部分研究成果，藉此機會與韓國與多位國際學者交換意見。</t>
    </r>
  </si>
  <si>
    <r>
      <rPr>
        <sz val="10"/>
        <color indexed="8"/>
        <rFont val="新細明體"/>
        <family val="1"/>
      </rPr>
      <t>釜山(Pusan)</t>
    </r>
  </si>
  <si>
    <r>
      <rPr>
        <sz val="10"/>
        <color indexed="8"/>
        <rFont val="新細明體"/>
        <family val="1"/>
      </rPr>
      <t>參加2016 AAS IN ASIA</t>
    </r>
  </si>
  <si>
    <r>
      <rPr>
        <sz val="9"/>
        <color indexed="8"/>
        <rFont val="新細明體"/>
        <family val="1"/>
      </rPr>
      <t>測量中國國家與社會的互動關係：研究文獻的量化分析2008-2014_MOST 104-2410-H-001-056-MY2</t>
    </r>
  </si>
  <si>
    <r>
      <rPr>
        <sz val="8"/>
        <color indexed="8"/>
        <rFont val="新細明體"/>
        <family val="1"/>
      </rPr>
      <t>計畫編號:104-2919-I-001-004-A1 科技部補助團隊召集人吳重禮研究員及團員蔡中民副教授、蔡佳泓研究員、楊婉瑩教授、鄭子真副教授共5名專家學者</t>
    </r>
  </si>
  <si>
    <r>
      <rPr>
        <sz val="8"/>
        <color indexed="8"/>
        <rFont val="新細明體"/>
        <family val="1"/>
      </rPr>
      <t>申請人擬於MPSA發表會議論文，旨在利用近期所執行專題計畫的調查資料，檢視影響台灣民眾的投票行為，盼望從此次會議與國外學術先進交流、徵詢寶貴的修改建議。</t>
    </r>
  </si>
  <si>
    <r>
      <rPr>
        <sz val="8"/>
        <color indexed="8"/>
        <rFont val="新細明體"/>
        <family val="1"/>
      </rPr>
      <t>擬使用科技部「能源價格補貼的政治經濟分析:制度、通貨膨脹與政治穩定」，計畫編號NSC102-2410-H-001-076-MY3。參與國際學術研討會，發表文章與參與討論。</t>
    </r>
  </si>
  <si>
    <r>
      <rPr>
        <sz val="8"/>
        <color indexed="8"/>
        <rFont val="新細明體"/>
        <family val="1"/>
      </rPr>
      <t>臺灣與俄羅斯學術研討會(科技部雙邊協議下)；以東亞區域合作與整合為主題，進行第二次台灣與俄羅斯人文與社會科學學界之年度學術交流研討會。</t>
    </r>
  </si>
  <si>
    <r>
      <t>(</t>
    </r>
    <r>
      <rPr>
        <sz val="8"/>
        <color indexed="8"/>
        <rFont val="新細明體"/>
        <family val="1"/>
      </rPr>
      <t>科技部雙邊協議下)臺灣與俄羅斯學術研討會 帶領台灣學者赴海參崴，與俄方學者以東亞合作與整合為主題，進行第二屆台俄人文與社會科學雙邊學術研討會</t>
    </r>
  </si>
  <si>
    <r>
      <rPr>
        <sz val="8"/>
        <color indexed="8"/>
        <rFont val="新細明體"/>
        <family val="1"/>
      </rPr>
      <t>科技部補助團隊召集人吳重禮研究員及團員蔡中民副教授、蔡佳泓研究員、楊婉瑩教授、鄭子真副教授共5名專家學者，赴日本東京參加「日本政治學會2015年度總會.研究大會」。</t>
    </r>
  </si>
  <si>
    <r>
      <t xml:space="preserve">00029562
</t>
    </r>
    <r>
      <rPr>
        <sz val="9"/>
        <color indexed="8"/>
        <rFont val="新細明體"/>
        <family val="1"/>
      </rPr>
      <t>計畫未結案併期末報告一併繳交</t>
    </r>
  </si>
  <si>
    <r>
      <rPr>
        <sz val="10"/>
        <color indexed="8"/>
        <rFont val="新細明體"/>
        <family val="1"/>
      </rPr>
      <t>學習成為網絡威權政體:中共歷史遺產與網絡科技的交融_MOST 103-2410-H-001-027-MY2</t>
    </r>
  </si>
  <si>
    <r>
      <rPr>
        <sz val="10"/>
        <color indexed="8"/>
        <rFont val="新細明體"/>
        <family val="1"/>
      </rPr>
      <t>國外旅費</t>
    </r>
  </si>
  <si>
    <r>
      <rPr>
        <sz val="10"/>
        <color indexed="8"/>
        <rFont val="新細明體"/>
        <family val="1"/>
      </rPr>
      <t>至東京訪問學者，並商討明年度研討會籌辦事宜</t>
    </r>
  </si>
  <si>
    <r>
      <rPr>
        <sz val="10"/>
        <color indexed="8"/>
        <rFont val="新細明體"/>
        <family val="1"/>
      </rPr>
      <t>京都(Kyoto) 東京(Tokyo)</t>
    </r>
  </si>
  <si>
    <r>
      <rPr>
        <sz val="10"/>
        <color indexed="8"/>
        <rFont val="新細明體"/>
        <family val="1"/>
      </rPr>
      <t>政黨屬性與黨性偏差對於政治知識的影響_MOST 104-2410-H-001-050</t>
    </r>
  </si>
  <si>
    <r>
      <rPr>
        <sz val="10"/>
        <color indexed="8"/>
        <rFont val="新細明體"/>
        <family val="1"/>
      </rPr>
      <t>比利時(Belgium) 德國(Germany)</t>
    </r>
  </si>
  <si>
    <r>
      <rPr>
        <sz val="10"/>
        <color indexed="8"/>
        <rFont val="新細明體"/>
        <family val="1"/>
      </rPr>
      <t>中國印象調查研究，2016-2019_MOST 105-2410-H-001-021-SS3</t>
    </r>
  </si>
  <si>
    <r>
      <rPr>
        <sz val="10"/>
        <color indexed="8"/>
        <rFont val="新細明體"/>
        <family val="1"/>
      </rPr>
      <t>費城(Philadelphia,Pennsylvania)</t>
    </r>
  </si>
  <si>
    <r>
      <rPr>
        <sz val="9"/>
        <color indexed="8"/>
        <rFont val="新細明體"/>
        <family val="1"/>
      </rPr>
      <t>本次出國為於國際會議中發表研究成果，並且和與會來賓交換研究心得，以冀望能夠增加研究深度與出版於國際期刊的可能性</t>
    </r>
  </si>
  <si>
    <r>
      <rPr>
        <sz val="9"/>
        <color indexed="8"/>
        <rFont val="新細明體"/>
        <family val="1"/>
      </rPr>
      <t>布魯塞爾(Brussels) 杜賓根(Tuebingen)</t>
    </r>
  </si>
  <si>
    <r>
      <rPr>
        <sz val="10"/>
        <color indexed="8"/>
        <rFont val="新細明體"/>
        <family val="1"/>
      </rPr>
      <t>參加美國政治學年發表會議論文，並與國際學者、專家交換意見。</t>
    </r>
  </si>
  <si>
    <r>
      <rPr>
        <sz val="10"/>
        <color indexed="8"/>
        <rFont val="新細明體"/>
        <family val="1"/>
      </rPr>
      <t>讓全世界都能聽到我們的聲音：中共外宣系統的運作_MOST 105-2410-H-001-020</t>
    </r>
  </si>
  <si>
    <r>
      <rPr>
        <sz val="10"/>
        <color indexed="8"/>
        <rFont val="新細明體"/>
        <family val="1"/>
      </rPr>
      <t>大陸地區旅費</t>
    </r>
  </si>
  <si>
    <r>
      <rPr>
        <sz val="10"/>
        <color indexed="8"/>
        <rFont val="新細明體"/>
        <family val="1"/>
      </rPr>
      <t>對於中共對外宣傳機制的運作，進行資料蒐集</t>
    </r>
  </si>
  <si>
    <r>
      <rPr>
        <sz val="10"/>
        <color indexed="8"/>
        <rFont val="新細明體"/>
        <family val="1"/>
      </rPr>
      <t>香港</t>
    </r>
  </si>
  <si>
    <r>
      <rPr>
        <sz val="10"/>
        <color indexed="8"/>
        <rFont val="新細明體"/>
        <family val="1"/>
      </rPr>
      <t>香港(Hong Kong)</t>
    </r>
  </si>
  <si>
    <t>00030788
計畫未結案併期末報告一併繳交</t>
  </si>
  <si>
    <r>
      <rPr>
        <sz val="10"/>
        <color indexed="8"/>
        <rFont val="新細明體"/>
        <family val="1"/>
      </rPr>
      <t>文化治理的政治經濟學:比較的觀點_NSC102-2410-H-001-075-MY3</t>
    </r>
  </si>
  <si>
    <r>
      <rPr>
        <sz val="10"/>
        <color indexed="8"/>
        <rFont val="新細明體"/>
        <family val="1"/>
      </rPr>
      <t>田野調查</t>
    </r>
  </si>
  <si>
    <r>
      <rPr>
        <sz val="10"/>
        <color indexed="8"/>
        <rFont val="新細明體"/>
        <family val="1"/>
      </rPr>
      <t>天津市</t>
    </r>
  </si>
  <si>
    <r>
      <rPr>
        <sz val="10"/>
        <color indexed="8"/>
        <rFont val="新細明體"/>
        <family val="1"/>
      </rPr>
      <t>天津(Tianjin)</t>
    </r>
  </si>
  <si>
    <t>00028435
併期末報告一併繳交</t>
  </si>
  <si>
    <r>
      <rPr>
        <sz val="10"/>
        <color indexed="8"/>
        <rFont val="新細明體"/>
        <family val="1"/>
      </rPr>
      <t>研究中共的學習機制與地方政策擴散</t>
    </r>
  </si>
  <si>
    <r>
      <rPr>
        <sz val="10"/>
        <color indexed="8"/>
        <rFont val="新細明體"/>
        <family val="1"/>
      </rPr>
      <t>廣西</t>
    </r>
  </si>
  <si>
    <r>
      <rPr>
        <sz val="10"/>
        <color indexed="8"/>
        <rFont val="新細明體"/>
        <family val="1"/>
      </rPr>
      <t>北京(Beijing) 南寧 桂林(Guilin)</t>
    </r>
  </si>
  <si>
    <r>
      <rPr>
        <sz val="10"/>
        <color indexed="8"/>
        <rFont val="新細明體"/>
        <family val="1"/>
      </rPr>
      <t>學習型威權體制與中國大陸的改革模式：理論與比較政治的視野_MOST 104-2410-H-001-089-MY3</t>
    </r>
  </si>
  <si>
    <r>
      <rPr>
        <sz val="10"/>
        <color indexed="8"/>
        <rFont val="新細明體"/>
        <family val="1"/>
      </rPr>
      <t>中國政策學習與改革模式之討論</t>
    </r>
  </si>
  <si>
    <r>
      <rPr>
        <sz val="10"/>
        <color indexed="8"/>
        <rFont val="新細明體"/>
        <family val="1"/>
      </rPr>
      <t>北京市</t>
    </r>
  </si>
  <si>
    <r>
      <rPr>
        <sz val="10"/>
        <color indexed="8"/>
        <rFont val="新細明體"/>
        <family val="1"/>
      </rPr>
      <t>北京(Beijing)</t>
    </r>
  </si>
  <si>
    <r>
      <rPr>
        <sz val="10"/>
        <color indexed="8"/>
        <rFont val="新細明體"/>
        <family val="1"/>
      </rPr>
      <t>中國外交的變與不變：從外交政策分析途徑檢視中國大陸的強勢外交_MOST 104-2410-H-001-095</t>
    </r>
  </si>
  <si>
    <r>
      <rPr>
        <sz val="8"/>
        <color indexed="8"/>
        <rFont val="新細明體"/>
        <family val="1"/>
      </rPr>
      <t>本次出訪主要執行本人104年度科技部計畫「中國外交的變與不變」，研究主題為未來中國外交的發展方向，訂於10月17至21日赴北京訪問北京大學、中國社科院等中國大陸學者。</t>
    </r>
  </si>
  <si>
    <t>00031509
計畫未結案併期末報告一併繳交</t>
  </si>
  <si>
    <t>00031508
計畫未結案併期末報告一併繳交</t>
  </si>
  <si>
    <t>設立國際科學理事會(ICSU)會長辦公室以推動國際科學合作業務計畫(第二期)_NSC 103-2915-I-001-501</t>
  </si>
  <si>
    <t>計畫名稱:設立國際科學理事會(ICSU)會長辦公室以推動國際科學合作業務計劃；代表參與國際重要研討會及學術論壇，以瞭解ICSU各計畫於當地推動的成效或遭遇什麼樣的問題與實際需要，作為改善ICSU 計畫之參考。</t>
  </si>
  <si>
    <t>105/03/16-105/03/24</t>
  </si>
  <si>
    <t>參加第32屆颶風與熱帶氣象研討會將發表改進氣候模式對熱帶區域MJO現象模擬之改善，研討會後前往位於普林斯頓的美國地球流體力學實驗室GFDL訪問，將針對未來CCLiCs將使用GFDL發展之嵌套網格全球模式進行高解析度氣候實驗之模式引進與相關資料進行交流。</t>
  </si>
  <si>
    <t>105/04/16-105/05/11</t>
  </si>
  <si>
    <t>美屬波多黎各(U.S. Puerto Rico) Princeton, NJ</t>
  </si>
  <si>
    <t>此會議探討MJO,本計畫和MJO有極高關係</t>
  </si>
  <si>
    <t>105/04/10-105/04/14</t>
  </si>
  <si>
    <t>參加「32nd Conference on Hurricanes and Tropical Meteorology」發表研究成果及進行高解析度氣候實驗之模式引進研究。</t>
  </si>
  <si>
    <t>105/04/16-105/05/03</t>
  </si>
  <si>
    <t>全球暖化下太平洋北赤道洋流系統之長期變化研究(Ⅱ)_MOST 104-2611-M-001-002 -</t>
  </si>
  <si>
    <t>出席於美國紐奧良(New Orleans,Louisiana, USA)舉辦之國際學術會議 2016 Ocean Sciences Meeting，並發表研究成果</t>
  </si>
  <si>
    <t>105/02/20-105/02/28</t>
  </si>
  <si>
    <t>New Orleans</t>
  </si>
  <si>
    <t>1.赴義大利參加From Intermolecular Forces to Frontiers in Nanoscience and Nanomedicine WQorkshop 2.赴法國參加ICSU Officers' Meeting 3.赴美國參加Lawrence Berkeley National Laboratory Board Meeting</t>
  </si>
  <si>
    <t>105/01/18-105/02/03</t>
  </si>
  <si>
    <t>巴黎(Paris) 舊金山(San Francisco,California) Trieste</t>
  </si>
  <si>
    <t>105/03/11-105/03/22</t>
  </si>
  <si>
    <t>設立國際科學理事會(ICSU)會長辦公室以推動國際科學合作業務計畫希望透過參與此次聯合國國際災害風險減低與防治會議建立與其他國家的關係網，進而推動與國際間其他研究機構的科學合作，同時了解他國研究與政策規畫等相關事宜。</t>
  </si>
  <si>
    <t>105/01/24-105/01/30</t>
  </si>
  <si>
    <t>台灣巨型城市環境研究(II)-都會區有機氣膠對大氣環境影響之模擬研究(III)_MOST 104-2111-M-001-007-</t>
  </si>
  <si>
    <t>參加 European Geosciences Union General Assembly 2016發表研究成果</t>
  </si>
  <si>
    <t>氣膠空間變異探討及有機指標物分析(III)_MOST 104-2111-M-001-005-</t>
  </si>
  <si>
    <t>計畫名稱:氣膠空間變異探討及有機指標物分析；赴奧地利維也納出席 European Geosciences Union General Assembly 2016 會議</t>
  </si>
  <si>
    <t>以氣膠與臭氧光達探討邊界層氣膠之物理與光學性質結構以及其對大氣輻射的影響_MOST 104-2111-M-001-006-</t>
  </si>
  <si>
    <t>參加 SPIE-Asia pacific remote sensing symposium</t>
  </si>
  <si>
    <t>105/03/29-105/04/11</t>
  </si>
  <si>
    <t>新德里(New Delhi) Tirupati</t>
  </si>
  <si>
    <t>西菲律賓海微量金屬的生物地球化學: 組成、來源、通量及與浮游植物的互動_MOST102-2611-M-001-004-MY3</t>
  </si>
  <si>
    <t>出席國際學術會議2016 Goldschmidt Conference，並發表研究成果</t>
  </si>
  <si>
    <t>出席國際學術會議2016 Goldschmidt Conference，並發表研究成果。</t>
  </si>
  <si>
    <t>本計劃的研究重點之一即是模式物理參數法之改進，此次研究成果是在此計劃支持下所研發新的雲量參數法，此參數法能有效改進NCAR CESM模式在雲量及濕度場以及相關氣候場的模擬，也是TaiESM模式之主要修改物理參數法之一。此研究成果值得與CESM模式年度會議中發表，與其他與會者分享及交流。</t>
  </si>
  <si>
    <t>105/06/19-105/06/25</t>
  </si>
  <si>
    <t>Breckenridge, CO</t>
  </si>
  <si>
    <t>全球暖化情境下恆春半島氣候變遷之推估_MOST102-2621-M-001-002-MY3</t>
  </si>
  <si>
    <t>前往義大利參加Eight ICTP Workshop on the Theory and Use of Regional Climate Models第八屆區域氣候模式之理論與應用研討會。</t>
  </si>
  <si>
    <t>105/05/20-105/06/05</t>
  </si>
  <si>
    <t>Trieste</t>
  </si>
  <si>
    <t>至英國Manchester參加ICCP 2016國際研討會</t>
  </si>
  <si>
    <t>105/07/23-105/07/31</t>
  </si>
  <si>
    <t>曼徹斯特(Manchester)</t>
  </si>
  <si>
    <t>參加EGU Assembly at Vienna, Austria發表計畫相關研究成果</t>
  </si>
  <si>
    <t>105/04/15-105/04/23</t>
  </si>
  <si>
    <t>本計畫的主要目標之一是建立台灣本身建立的氣候模式Taiwan Earth System model (TaiESM)，此一模式是以美國國家大氣研究中心的CESM為基礎，增加台灣團隊所研發的物理參數法，增加台灣氣候模式發展能力，以及氣候研究能力。</t>
  </si>
  <si>
    <t>氣候變遷研究聯盟-II(WCRP跨國國際氣候推估模式比對計畫)－總計畫_MOST 105-2119-M-001-018</t>
  </si>
  <si>
    <t>本計畫之計劃主持人有必要積極參與相關的研討，獲取最新知識。此次發表議題提到中緯度影響熱帶地區的環流，在季內震盪的研究中，為重要的一大進展。</t>
  </si>
  <si>
    <t>105/12/11-105/12/18</t>
  </si>
  <si>
    <t>南大洋氣膠時空特徵及其對成雲過程影響之數值模擬_MOST 104-2111-M-001-002-</t>
  </si>
  <si>
    <t>參加17thCCIP會議發表研究成果</t>
  </si>
  <si>
    <t>105/07/23-105/08/08</t>
  </si>
  <si>
    <t>本計畫之目標是整合全球暖化下恆春半島之氣候推估資料，如雨量、溫度、颱風頻率等，作為整合計畫中其他子計畫發展各種變遷模式之依據。包括國家災害防救中心過去與未來之降尺度資料、美國GFDL之高解析度大氣模式模擬結果、以及CMIP5系集模擬結果。</t>
  </si>
  <si>
    <t>105/04/15-105/04/22</t>
  </si>
  <si>
    <t>奧克蘭(Auckland)</t>
  </si>
  <si>
    <t>羅敏輝參加本次研討會將發表有關CESM模式模擬地下水在未來的變化情形並與陸面模式(CLM)的主要負責人(Dr. Dave Lawrence)討論。隨後羅敏輝將前往加州大學爾灣分校進行研究訪問10天，針對陸面過程所引起的水文循環的改變與氣候的反應進行交流。</t>
  </si>
  <si>
    <t>105/06/17-105/07/06</t>
  </si>
  <si>
    <t>Breckenridge, CO Irvine</t>
  </si>
  <si>
    <t>大氣中二氧化碳和一氧化二氮生地化循環_MOST 105-2111-M-001-006-MY3</t>
  </si>
  <si>
    <t>出席國際會議48th meeting of the Division for Planetary Sciences (DPS)</t>
  </si>
  <si>
    <t>105/10/14-105/10/23</t>
  </si>
  <si>
    <t>帕莎蒂娜(Pasadena, California)</t>
  </si>
  <si>
    <t>至法國南特參加國際研討會The 8th International Symbosium on Isotopomers</t>
  </si>
  <si>
    <t>105/10/02-105/10/11</t>
  </si>
  <si>
    <t>至法國南特參加國際研討會 The 8th International Symposium on Isotopomers,發表從台灣北部西太平洋大氣站的一氧化二氮同位素比值的觀察</t>
  </si>
  <si>
    <t>105/10/02-105/10/08</t>
  </si>
  <si>
    <t>全球模式之輻射傳遞模組的探討與改進_MOST 105-2119-M-001-020</t>
  </si>
  <si>
    <t>赴美國舊金山參加2016年AGU大會並發表研究成果</t>
  </si>
  <si>
    <t>105/12/11-105/12/17</t>
  </si>
  <si>
    <t>至美國舊金山出席國際會議2016 AGU Fall Meeting</t>
  </si>
  <si>
    <t>全新世相較近代暖化對副熱帶大氣環流暨亞洲季風的影響_MOST 105-2119-M-001-021</t>
  </si>
  <si>
    <t>出席AGU秋季研討會</t>
  </si>
  <si>
    <t>赤道太平洋百年至千年尺度氣候變異_MOST105-2611-M-001-002-</t>
  </si>
  <si>
    <t>參加2016 American Geophysical Union Fall Meeting美國地球物理聯合會秋季會議，並發表研究成果。</t>
  </si>
  <si>
    <t>105/12/12-105/12/29</t>
  </si>
  <si>
    <t>舊金山(San Francisco,California) Berkeley</t>
  </si>
  <si>
    <t>整合台灣地球系統模式之雲巨觀物理與雲微物理參數法_MOST 105-2119-M-001-019</t>
  </si>
  <si>
    <t>科技部計劃名為整合台灣地球系統模式之雲巨觀物理與雲微物理參數法此次參與2016 AGU Fall Meeting，將發表個人於雲巨觀物理與雲微物理方面之研究成果，同時與相關領域研究人員，交換心得。</t>
  </si>
  <si>
    <t>參加美國地球物理協會秋季年會(2016 AGU Fall meeting)</t>
  </si>
  <si>
    <t>105/12/09-105/12/22</t>
  </si>
  <si>
    <t>參加美國地球物理協會秋季研討會</t>
  </si>
  <si>
    <t>參加美國地球物理協會秋季研討會，聽取來自全球的科學家在大氣科學與其他地球科學領域最新的研究，並且以海報發表本身研究成果，並藉由討論中吸取的意見改進研究。</t>
  </si>
  <si>
    <t>105/12/09-105/12/21</t>
  </si>
  <si>
    <t>105-2914-1-001-151- A1 安薩德博士後研究於 105 年 1 2 月 赴美國舊金山參加2016 AGU Fall Meeting</t>
  </si>
  <si>
    <t>赴美國舊金山出席國際研討會 2016 AGU Fall Meeting，並發表研究結果</t>
  </si>
  <si>
    <t>105/12/11-105/12/20</t>
  </si>
  <si>
    <t>2016 AGU （American Geophysical Union） Fall Meeting 105-2914-I-001 -155 -A1</t>
  </si>
  <si>
    <t>出席2016 AGU 美國地球物理聯合會秋季會議，海報發表研究成果-冰雪輻射交互作用對全球暖化之影響。</t>
  </si>
  <si>
    <t>105/12/10-105/12/18</t>
  </si>
  <si>
    <t>參加2/21-2/26「2016 Ocean Science Meeting」發表研究成果</t>
  </si>
  <si>
    <t>104/12/14-105/03/01</t>
  </si>
  <si>
    <t>紐奧良(New Orleans, Louisiana) Santa Barbara</t>
  </si>
  <si>
    <t>參加舉辦於美國紐澳良之2016 Ocean Science Meeting</t>
  </si>
  <si>
    <t>105/02/19-105/03/08</t>
  </si>
  <si>
    <t>紐奧良(New Orleans, Louisiana) Santa Cruz</t>
  </si>
  <si>
    <t>科技部104年度（第53屆）補助科學與技術人員國外短期研究(補助編號：104-2918-I-001-002)</t>
  </si>
  <si>
    <t>科技部104年度（第53屆）補助科學與技術人員國外短期研究補助鎳及光對海洋藍綠菌固氮作用的調控機制計畫,參加2016 Ocean Sciences Meeting.</t>
  </si>
  <si>
    <t>104/10/28-105/06/22</t>
  </si>
  <si>
    <t>New Orleans Santa Cruz</t>
  </si>
  <si>
    <t>出席於美國紐奧良舉辦之國際學術會議 2016 Ocean Sciences Meeting，並發表研究成果</t>
  </si>
  <si>
    <t>105/02/21-105/02/28</t>
  </si>
  <si>
    <t>紐奧良(New Orleans, Louisiana)</t>
  </si>
  <si>
    <t>美屬波多黎各(U.S. Puerto Rico) 紐澤西(New Jersey)</t>
  </si>
  <si>
    <t>計畫結餘款再利用-666604 周崇光</t>
  </si>
  <si>
    <t>參加國際研討會 European Aerosol Conference EAC 2016, 4-9 Sept 2016, France</t>
  </si>
  <si>
    <t>105/09/02-105/09/12</t>
  </si>
  <si>
    <t>Tours</t>
  </si>
  <si>
    <t>本計畫"氣候變遷研究聯盟-總計畫"的主要目標之一是建立台灣本身建立的氣候模式Taiwan Earth System model (TaiESM)，重點為整合台灣團隊所研發的物理參數法至氣候模式，增加台灣氣候模式發展能力，以及提供氣候研究所需的實驗平台和數據分析。</t>
  </si>
  <si>
    <t>前往夏威夷大學氣象系與金飛飛教授合作,進行大西洋赤道區域聖嬰現象以及季節循環之理論研究.從模式和理論的觀點出發,釐清太平洋與大西洋氣候平均場以及季節循環的差異,分析此差異在兩大洋所帶來的影響. 致力於找出足以提升現有模式對大西洋模擬能力的關鍵.</t>
  </si>
  <si>
    <t>進行研究「模式模擬極端降雨、相關的大氣垂直結構與大尺度環流的表現之探討以及其與觀測資料的差異」。</t>
  </si>
  <si>
    <t>本計畫將利用超高水平空間解析度 (三十公尺) 之地形資料發展新的參數化法，用以估算三維地形對地表太陽輻射量的影響，並將此參數化法植入台灣地球系統模式。</t>
  </si>
  <si>
    <t>前往美國研究機構University of California at Santa Cruz進行國外短期研究(研究計畫名稱：鎳及光對海洋藍綠菌固氮作用的調控機制)。</t>
  </si>
  <si>
    <r>
      <t xml:space="preserve">00025469
</t>
    </r>
    <r>
      <rPr>
        <sz val="6"/>
        <color indexed="8"/>
        <rFont val="細明體"/>
        <family val="3"/>
      </rPr>
      <t>由科技部</t>
    </r>
    <r>
      <rPr>
        <sz val="6"/>
        <color indexed="8"/>
        <rFont val="Calibri"/>
        <family val="2"/>
      </rPr>
      <t>104</t>
    </r>
    <r>
      <rPr>
        <sz val="6"/>
        <color indexed="8"/>
        <rFont val="細明體"/>
        <family val="3"/>
      </rPr>
      <t>年度（第</t>
    </r>
    <r>
      <rPr>
        <sz val="6"/>
        <color indexed="8"/>
        <rFont val="Calibri"/>
        <family val="2"/>
      </rPr>
      <t>53</t>
    </r>
    <r>
      <rPr>
        <sz val="6"/>
        <color indexed="8"/>
        <rFont val="細明體"/>
        <family val="3"/>
      </rPr>
      <t>屆）補助科學與技術人員國外短期研究</t>
    </r>
    <r>
      <rPr>
        <sz val="6"/>
        <color indexed="8"/>
        <rFont val="Calibri"/>
        <family val="2"/>
      </rPr>
      <t>(</t>
    </r>
    <r>
      <rPr>
        <sz val="6"/>
        <color indexed="8"/>
        <rFont val="細明體"/>
        <family val="3"/>
      </rPr>
      <t>補助編號：</t>
    </r>
    <r>
      <rPr>
        <sz val="6"/>
        <color indexed="8"/>
        <rFont val="Calibri"/>
        <family val="2"/>
      </rPr>
      <t>104-2918-I-001-002)</t>
    </r>
  </si>
  <si>
    <t>赴上海出席“Building Leadership for Healthy Urban Sustainability” Symposium</t>
  </si>
  <si>
    <t>兩岸共同研究議題─豪雨與颱風延續合作研究：氣溶膠物理化學對台灣海峽及周邊地區霧霾天氣之影響_MOST 103-2111-M-001-010-MY3</t>
  </si>
  <si>
    <t>本計畫 "氣溶膠物理化學對台灣海峽及周邊地區霧霾天氣之影響" 為兩岸合作之研究計畫，主要內容為透過合作研究深入了解台灣海峽地區空氣汙染對霧霾天氣的影響。本次出國是參加由大陸方面主辦的計畫工作會議，進行成果報告及資料研討與研究經驗交流</t>
  </si>
  <si>
    <t>東亞地區大氣懸浮微粒鈹-7與鉛-210活度之時空分佈與其應用在大氣傳輸行為之探討(II)_MOST 104-2111-M-001-009-MY2</t>
  </si>
  <si>
    <t>本計劃主持人將參加2016年7月31日至8月5日於北京舉辦的AOGS會議並發表論文, 出國補助計畫名稱為"東亞地區大氣懸浮微粒鈹-7與鉛-210活度之時空分佈與其應用在大氣傳輸行為之探討"</t>
  </si>
  <si>
    <t>參加CLIVAR 2016會議，預計發表透過本計畫支持所發展的高解析度大氣動力模式耦合一維海洋模組進行季節預報的實驗成果，特別以2011年DYNAMO實驗期間的觀測數據作為比對。</t>
  </si>
  <si>
    <t>出席國際學術會議2016 Gordon Research Conferences_Ocean Biogeochemistry，並發表研究成果。</t>
  </si>
  <si>
    <t>參加國際研討會 13th Annual Meeting Asia Oceania Geosciences Soceity</t>
  </si>
  <si>
    <t>參加由中國科學院大氣物理所、成都資訊工程大學與台灣中華民國氣象協會聯合主辦的“2016年全國大氣科學研究生學術論壇暨海峽兩岸青年學術研討會”</t>
  </si>
  <si>
    <t>由中國科學院大氣物理所、成都資訊工程大學與台灣中華民國氣象協會聯合主辦的“2016年全國大氣科學研究生學術論壇暨海峽兩岸青年學術研討會”將於2016年8月29-30日在成都資訊工程大學召開。</t>
  </si>
  <si>
    <t>本計畫的主要目標是建立台灣本身對氣候變遷科學領域的發展和實力，其中包括氣候模式的發展，氣候資料的分析，以及氣候機制的研究和未來氣候的推估。</t>
  </si>
  <si>
    <t>參加AOGS (Asia Oceania Geosciences Society) 13th Annual Meeting</t>
  </si>
  <si>
    <t>參加AOGS 13th Annual Meeting</t>
  </si>
  <si>
    <t>EAC研討會屬於專家會議，邀請學者來自中國大陸、美國、日本、韓國、台灣，就東亞氣候、海氣交互作用、氣膠/雲/氣候交互作用、氣陸交互作用、氣候模擬與預報等議題，交換最新的研究心得，並且擬定研究策略。 本次研討會依慣例邀請各國氣候學者與會，交換最新的研究心得，以期對影響東亞氣候的因子有更進一步的理解。參加此會議對計畫發展的助益甚大。</t>
  </si>
  <si>
    <t>本次工作會主要討論2015, 2016 春季金門物霾實驗觀測及模擬結果及相關科學問題研究進展</t>
  </si>
  <si>
    <t>北京市</t>
  </si>
  <si>
    <t>前往北京大學參加“氣溶膠物理化學對臺灣海峽及周邊地區霧霾天氣之影響” 合作計畫工作會議</t>
  </si>
  <si>
    <t>參加"氣溶膠物理化學對台灣海峽及周邊地區霧霾天氣之影響"研究計畫工作會議</t>
  </si>
  <si>
    <t>研究成果討論</t>
  </si>
  <si>
    <t>執行科技部計畫至中國廣西採集植物樣本與考察。</t>
  </si>
  <si>
    <t>廣西</t>
  </si>
  <si>
    <r>
      <t xml:space="preserve">00028091
</t>
    </r>
    <r>
      <rPr>
        <sz val="8"/>
        <color indexed="8"/>
        <rFont val="細明體"/>
        <family val="3"/>
      </rPr>
      <t>計畫未結案併期末報告一併繳交。</t>
    </r>
  </si>
  <si>
    <r>
      <t xml:space="preserve">00021532
</t>
    </r>
    <r>
      <rPr>
        <sz val="10"/>
        <color indexed="8"/>
        <rFont val="細明體"/>
        <family val="3"/>
      </rPr>
      <t>幽蘭計畫</t>
    </r>
  </si>
  <si>
    <t>藥物化學樣品庫與超高速藥物篩選 V_MOST 104-2325-B-001-012</t>
  </si>
  <si>
    <t>1. 張貼海報，研討技術方法 2. 拜訪GNF篩選設備專家，討論設備遷移與維護等問題 3. 拜訪GNF細胞型態資訊分析專家，尋求佈置自動化高速影像分析 4. 參訪實驗自動化儀器展</t>
  </si>
  <si>
    <t>105/01/22-105/02/01</t>
  </si>
  <si>
    <t>前往美國聖地牙哥參加Experimental Biology 2016年會中的美國病理研究學會(ASIP)年會 受邀在lung cancer minisymposium 發表關於腺苷酸激酶在肺癌的最新研究成果之壁報論文</t>
  </si>
  <si>
    <t>105/03/31-105/04/12</t>
  </si>
  <si>
    <t>研究成果出國參與會議張貼海報</t>
  </si>
  <si>
    <t>105/03/31-105/04/11</t>
  </si>
  <si>
    <t>探討CHAC2在人類胚胎幹細胞之功能及分子機制_MOST104-2320-B-001-005</t>
  </si>
  <si>
    <t>參加CiRA/ISSCR International Symposia 2016國際會議</t>
  </si>
  <si>
    <t>105/03/21-105/03/28</t>
  </si>
  <si>
    <t>參加CiRA/ISSCR International Symposia 2016</t>
  </si>
  <si>
    <t>105/03/19-105/03/27</t>
  </si>
  <si>
    <t>105/01/20-105/01/26</t>
  </si>
  <si>
    <t>1.醣晶片用於流感檢測 2. 疫苗最佳化_28A-981130-2Cb</t>
  </si>
  <si>
    <t>105/03/12-105/03/19</t>
  </si>
  <si>
    <t>發表論文</t>
  </si>
  <si>
    <t>105/01/17-105/01/23</t>
  </si>
  <si>
    <t>運用奈米粒子開發標定腫瘤幹細胞及解構其微環境的策略_MOST 104-3111-Y-001-033</t>
  </si>
  <si>
    <t>運用奈米粒子開發標定腫瘤幹細胞及解構其微環境的策略 發表研究成果</t>
  </si>
  <si>
    <t>105/04/13-105/04/24</t>
  </si>
  <si>
    <t>參加「2016 Glycotreat (GlycoForum)/Molecular Immunology of Complex Carbohydrates-4」會議，(2016/4/11-4/13，New Taipei City)，2016/4/14-4/18，Angkor, Cambodia)。</t>
  </si>
  <si>
    <t>105/04/14-105/04/18</t>
  </si>
  <si>
    <t>Angkor 吳哥窟</t>
  </si>
  <si>
    <t>參加ISSCR 2016 annual meeting</t>
  </si>
  <si>
    <t>105/06/16-105/06/27</t>
  </si>
  <si>
    <t>U1小核醣核蛋白與pre-mRNA 5’剪接位的動態交互作用在決定剪接作用之研究_NSC102-2311-B-001-029-MY3</t>
  </si>
  <si>
    <t>105/06/28-105/07/03</t>
  </si>
  <si>
    <t>Attend 2016 RNA meeting in Kyoto with a poster presentation</t>
  </si>
  <si>
    <t>105/06/25-105/07/04</t>
  </si>
  <si>
    <t>參加The biochemistry and chemistry of biocatalysis: From understanding to design 12 – 15 June 2016 | Oulu, Finland會議</t>
  </si>
  <si>
    <t>105/06/11-105/06/17</t>
  </si>
  <si>
    <t>OULU</t>
  </si>
  <si>
    <t>開發超高空間及質量解析度之影像質譜法以應用於基礎研究與生醫檢測(1/3)_MOST104-2119-M-001-014</t>
  </si>
  <si>
    <t>參加國際質譜會議: 64th Annual Conference on Mass Spectrometry and Allied Topics</t>
  </si>
  <si>
    <t>105/06/01-105/06/14</t>
  </si>
  <si>
    <t>聖安東尼(San Antonio,Texas)</t>
  </si>
  <si>
    <t>參加會議及出席專家閉門會議</t>
  </si>
  <si>
    <t>105/06/02-105/06/11</t>
  </si>
  <si>
    <t>擷取、檢測及分析循環性癌細胞作為胰臟癌早期診斷與治療－建立高靈敏度，高再現性且自動化的循環性癌細_MOST104-2321-B-001-016</t>
  </si>
  <si>
    <t>參加國際學術會議，Gordon Research Conference - Rare Cell in Circulation Location: Mount Holyoke College / Boston / US</t>
  </si>
  <si>
    <t>105/08/06-105/08/14</t>
  </si>
  <si>
    <t>South Hadley</t>
  </si>
  <si>
    <t>利用控制表面物理性質以培養及維持幹細胞生長_MOST104-2113-M-001-015-MY3</t>
  </si>
  <si>
    <t>受邀參加international symposium on polymer interfaces and macromolecular assemblies並擔任講者</t>
  </si>
  <si>
    <t>105/06/23-105/06/25</t>
  </si>
  <si>
    <t>發展對抗多重抗藥性金黃色葡萄菌及鮑氏不動桿菌等多種細菌性疫苗_MOST104-2628-M-001-006-MY3</t>
  </si>
  <si>
    <t>發展對抗多重抗藥性金黃色葡萄菌及鮑氏不動桿菌等多種細菌性疫苗</t>
  </si>
  <si>
    <t>105/06/16-105/06/24</t>
  </si>
  <si>
    <t>辨識機緣性感染黴菌及醫用黴菌的C型凝集素的功能鑑定(5/5)_MOST104-2321-B-001-017</t>
  </si>
  <si>
    <t>會議主辦單位邀請相關專家學者演講，讓來自各國免疫學領域的研究學者交流互動，在全球具有代表性。</t>
  </si>
  <si>
    <t>105/05/12-105/05/20</t>
  </si>
  <si>
    <t>利用神經母瘤細胞與阿滋海默症病人多功能幹細胞分化之神經細胞來探討神經節脂及岩藻醣的表現及生合成變異機制</t>
  </si>
  <si>
    <t>105/06/05-105/06/09</t>
  </si>
  <si>
    <t>大阪(Osaka) 福岡(Fukuoka)</t>
  </si>
  <si>
    <t>我國新藥加值創造與商業育成計畫_MOST105-2321-B-001-058</t>
  </si>
  <si>
    <t>名稱:「2016年北美生物科技產業展 (BIO2016)」研討會 內容：參與國際商業研討會，以進行跨國合作與技術交流、新興市場商機評估等活動，以了解吸收全球新藥發展及現。</t>
  </si>
  <si>
    <t>105/06/04-105/06/12</t>
  </si>
  <si>
    <t>抗流感病毒通用型疫苗之研發(3/3)_MOST105-2325-B-001-007</t>
  </si>
  <si>
    <t>參加會議並受邀演講</t>
  </si>
  <si>
    <t>105/06/22-105/06/26</t>
  </si>
  <si>
    <t>由單醣化血凝素蛋白疫苗的免疫鼠中發展廣效抗流感之中和性抗體(3/3)_MOST105-2325-B-001-005</t>
  </si>
  <si>
    <t>參加在淡路島及大阪舉行的國際會議</t>
  </si>
  <si>
    <t>105/10/01-105/10/06</t>
  </si>
  <si>
    <t>大阪(Osaka) 淡路島(Awaji-shima)</t>
  </si>
  <si>
    <t>利用神經母瘤細胞和阿茲海默症病人多功能幹細胞分化之神經細胞探討阿茲海默症的變化.</t>
  </si>
  <si>
    <t>105/07/21-105/07/30</t>
  </si>
  <si>
    <t>利用神經母瘤細胞與阿滋海默症病人多功能幹細胞分化之神經細胞來探討神經節脂及岩藻醣的表現及生合成變_MOST104-2321-B-001-071</t>
  </si>
  <si>
    <t>國際會議</t>
  </si>
  <si>
    <t>105/08/06-105/08/21</t>
  </si>
  <si>
    <t>巴塞隆納(Barcelona)</t>
  </si>
  <si>
    <t>產學合作計畫－利用合成人體抗體庫噬菌體呈現系統發掘與發展腸病毒71 型醫療及診斷用新穎抗體_105401</t>
  </si>
  <si>
    <t>105/09/19-105/09/28</t>
  </si>
  <si>
    <t>參加"美國質譜學會2016年年度研討會" (American Society for Mass Spectrometry 64th ASMS Conference)</t>
  </si>
  <si>
    <t>系統性篩選促骨生成因子及骨質疏鬆症之治療標的_NHRI-EX105-10415SI</t>
  </si>
  <si>
    <t>參加ISREC-SCCL Symposium 2016: Horizons of Cancer Biology and Therapy</t>
  </si>
  <si>
    <t>105/08/27-105/09/12</t>
  </si>
  <si>
    <t>Lausanne</t>
  </si>
  <si>
    <t>105-2914-I-001-024-A1</t>
  </si>
  <si>
    <t>赴澳洲墨爾本參加International Congress of Immunology 2016國際會議，並發表poster.</t>
  </si>
  <si>
    <t>105/08/18-105/08/29</t>
  </si>
  <si>
    <t>105-2914-I001-049-A1 科技部補助經費</t>
  </si>
  <si>
    <t>出國參與學術研討交流,報告本實驗室目前近期的研究進展,並且了解同樣研究醣生物學領域之實驗室的研究成果以達到資訊交流的目的</t>
  </si>
  <si>
    <t>105/11/17-105/12/02</t>
  </si>
  <si>
    <t>科技部幽蘭計畫：分析哺乳類動物的蛋白質結構特性對演化速率的影響 104-2911-I-001-502</t>
  </si>
  <si>
    <t>研究訪問</t>
  </si>
  <si>
    <t>分析哺乳類動物的蛋白質結構特性對演化速率的影響</t>
  </si>
  <si>
    <t>與交流合作之法方研究人員進行計畫討論</t>
  </si>
  <si>
    <t>The 10th Asian Epigenomics Meeting 2015: Epigenome as a Life Long Partner of Genome</t>
  </si>
  <si>
    <t>參加The 10th Asian Epigenomics Meeting 2015: Epigenome as a Life Long Partner of Genome</t>
  </si>
  <si>
    <t>104/09/08-104/09/13</t>
  </si>
  <si>
    <t>104/09/08-104/09/11</t>
  </si>
  <si>
    <t>104/09/08-104/09/10</t>
  </si>
  <si>
    <r>
      <t xml:space="preserve">00026788
</t>
    </r>
    <r>
      <rPr>
        <sz val="8"/>
        <color indexed="8"/>
        <rFont val="細明體"/>
        <family val="3"/>
      </rPr>
      <t>補助單位為民間企業未要求繳交</t>
    </r>
    <r>
      <rPr>
        <sz val="8"/>
        <color indexed="8"/>
        <rFont val="Calibri"/>
        <family val="2"/>
      </rPr>
      <t>,</t>
    </r>
    <r>
      <rPr>
        <sz val="8"/>
        <color indexed="8"/>
        <rFont val="細明體"/>
        <family val="3"/>
      </rPr>
      <t>故無須提出報告</t>
    </r>
  </si>
  <si>
    <r>
      <t xml:space="preserve">00028316
</t>
    </r>
    <r>
      <rPr>
        <sz val="8"/>
        <color indexed="8"/>
        <rFont val="細明體"/>
        <family val="3"/>
      </rPr>
      <t>補助單位為民間企業未要求繳交</t>
    </r>
    <r>
      <rPr>
        <sz val="8"/>
        <color indexed="8"/>
        <rFont val="Calibri"/>
        <family val="2"/>
      </rPr>
      <t>,</t>
    </r>
    <r>
      <rPr>
        <sz val="8"/>
        <color indexed="8"/>
        <rFont val="細明體"/>
        <family val="3"/>
      </rPr>
      <t>故無須提出報告</t>
    </r>
  </si>
  <si>
    <r>
      <t xml:space="preserve">00029179
</t>
    </r>
    <r>
      <rPr>
        <sz val="8"/>
        <color indexed="8"/>
        <rFont val="細明體"/>
        <family val="3"/>
      </rPr>
      <t>補助單位為民間企業未要求繳交</t>
    </r>
    <r>
      <rPr>
        <sz val="8"/>
        <color indexed="8"/>
        <rFont val="Calibri"/>
        <family val="2"/>
      </rPr>
      <t>,</t>
    </r>
    <r>
      <rPr>
        <sz val="8"/>
        <color indexed="8"/>
        <rFont val="細明體"/>
        <family val="3"/>
      </rPr>
      <t>故無須提出報告</t>
    </r>
  </si>
  <si>
    <r>
      <t xml:space="preserve">00029048
</t>
    </r>
    <r>
      <rPr>
        <sz val="7"/>
        <color indexed="8"/>
        <rFont val="細明體"/>
        <family val="3"/>
      </rPr>
      <t>計畫尚未到期，報告尚未繳交，於計畫結案時一併繳交</t>
    </r>
  </si>
  <si>
    <r>
      <t xml:space="preserve">00028442
</t>
    </r>
    <r>
      <rPr>
        <sz val="7"/>
        <color indexed="8"/>
        <rFont val="細明體"/>
        <family val="3"/>
      </rPr>
      <t>計畫尚未到期，報告尚未繳交，於計畫結案時一併繳交</t>
    </r>
  </si>
  <si>
    <r>
      <t xml:space="preserve">00029389
</t>
    </r>
    <r>
      <rPr>
        <sz val="7"/>
        <color indexed="8"/>
        <rFont val="細明體"/>
        <family val="3"/>
      </rPr>
      <t>計畫尚未到期，報告尚未繳交，於計畫結案時一併繳交</t>
    </r>
  </si>
  <si>
    <r>
      <t xml:space="preserve">00030558
</t>
    </r>
    <r>
      <rPr>
        <sz val="7"/>
        <color indexed="8"/>
        <rFont val="細明體"/>
        <family val="3"/>
      </rPr>
      <t>補助單位為民間企業未要求繳交</t>
    </r>
    <r>
      <rPr>
        <sz val="7"/>
        <color indexed="8"/>
        <rFont val="Calibri"/>
        <family val="2"/>
      </rPr>
      <t>,</t>
    </r>
    <r>
      <rPr>
        <sz val="7"/>
        <color indexed="8"/>
        <rFont val="細明體"/>
        <family val="3"/>
      </rPr>
      <t>故無須提出報告</t>
    </r>
  </si>
  <si>
    <r>
      <t xml:space="preserve">00024394
</t>
    </r>
    <r>
      <rPr>
        <sz val="7"/>
        <color indexed="8"/>
        <rFont val="細明體"/>
        <family val="3"/>
      </rPr>
      <t>科技部專案補助</t>
    </r>
    <r>
      <rPr>
        <sz val="7"/>
        <color indexed="8"/>
        <rFont val="Calibri"/>
        <family val="2"/>
      </rPr>
      <t>,</t>
    </r>
    <r>
      <rPr>
        <sz val="7"/>
        <color indexed="8"/>
        <rFont val="細明體"/>
        <family val="3"/>
      </rPr>
      <t>報告繳給計畫主持人</t>
    </r>
    <r>
      <rPr>
        <sz val="7"/>
        <color indexed="8"/>
        <rFont val="Calibri"/>
        <family val="2"/>
      </rPr>
      <t>,</t>
    </r>
    <r>
      <rPr>
        <sz val="7"/>
        <color indexed="8"/>
        <rFont val="細明體"/>
        <family val="3"/>
      </rPr>
      <t>已由計畫主持人彙整繳交</t>
    </r>
  </si>
  <si>
    <r>
      <rPr>
        <sz val="10"/>
        <color indexed="8"/>
        <rFont val="細明體"/>
        <family val="3"/>
      </rPr>
      <t>印度</t>
    </r>
    <r>
      <rPr>
        <sz val="10"/>
        <color indexed="8"/>
        <rFont val="Calibri"/>
        <family val="2"/>
      </rPr>
      <t>(India)</t>
    </r>
  </si>
  <si>
    <t>醣晶片的開發</t>
  </si>
  <si>
    <t>醣晶片的開發及其用於愛滋病毒中和性抗體之醣抗原專一性探討</t>
  </si>
  <si>
    <t>64th conference on Mass Spectrometry and Allied Topics</t>
  </si>
  <si>
    <t>參加64th conference on Mass Spectrometry and Allied Topics並於會中發表口頭論文</t>
  </si>
  <si>
    <t>105/06/04-105/07/01</t>
  </si>
  <si>
    <t>赴印度孟買參加「21st International Conference on Organic Synthesis (ICOS21)」會議並張貼海報</t>
  </si>
  <si>
    <t>孟買(Mumbai)</t>
  </si>
  <si>
    <t>參加2016國際醣質會議並張貼海報</t>
  </si>
  <si>
    <t>105/07/16-105/07/24</t>
  </si>
  <si>
    <r>
      <rPr>
        <sz val="10"/>
        <color indexed="8"/>
        <rFont val="細明體"/>
        <family val="3"/>
      </rPr>
      <t>受邀參加第十一屆亞洲表觀遺傳基因體會議</t>
    </r>
    <r>
      <rPr>
        <sz val="10"/>
        <color indexed="8"/>
        <rFont val="Calibri"/>
        <family val="2"/>
      </rPr>
      <t xml:space="preserve"> 11th Asian Epigenomics Meeting 2016, Bangalore, India</t>
    </r>
  </si>
  <si>
    <r>
      <rPr>
        <sz val="10"/>
        <color indexed="8"/>
        <rFont val="細明體"/>
        <family val="3"/>
      </rPr>
      <t>邦加羅爾</t>
    </r>
    <r>
      <rPr>
        <sz val="10"/>
        <color indexed="8"/>
        <rFont val="Calibri"/>
        <family val="2"/>
      </rPr>
      <t>(Bangalore)</t>
    </r>
  </si>
  <si>
    <t>104/09/27-104/10/10</t>
  </si>
  <si>
    <t>Marbella</t>
  </si>
  <si>
    <r>
      <t xml:space="preserve">00024920
</t>
    </r>
    <r>
      <rPr>
        <sz val="8.5"/>
        <color indexed="8"/>
        <rFont val="細明體"/>
        <family val="3"/>
      </rPr>
      <t>三級用途別錯誤於</t>
    </r>
    <r>
      <rPr>
        <sz val="8.5"/>
        <color indexed="8"/>
        <rFont val="Calibri"/>
        <family val="2"/>
      </rPr>
      <t>105</t>
    </r>
    <r>
      <rPr>
        <sz val="8.5"/>
        <color indexed="8"/>
        <rFont val="細明體"/>
        <family val="3"/>
      </rPr>
      <t>年</t>
    </r>
    <r>
      <rPr>
        <sz val="8.5"/>
        <color indexed="8"/>
        <rFont val="Calibri"/>
        <family val="2"/>
      </rPr>
      <t>1</t>
    </r>
    <r>
      <rPr>
        <sz val="8.5"/>
        <color indexed="8"/>
        <rFont val="細明體"/>
        <family val="3"/>
      </rPr>
      <t>月更正</t>
    </r>
  </si>
  <si>
    <r>
      <rPr>
        <sz val="8.5"/>
        <color indexed="8"/>
        <rFont val="細明體"/>
        <family val="3"/>
      </rPr>
      <t>一般代收代付</t>
    </r>
    <r>
      <rPr>
        <sz val="8.5"/>
        <color indexed="8"/>
        <rFont val="Calibri"/>
        <family val="2"/>
      </rPr>
      <t>(</t>
    </r>
    <r>
      <rPr>
        <sz val="8.5"/>
        <color indexed="8"/>
        <rFont val="細明體"/>
        <family val="3"/>
      </rPr>
      <t>專案補助</t>
    </r>
    <r>
      <rPr>
        <sz val="8.5"/>
        <color indexed="8"/>
        <rFont val="Calibri"/>
        <family val="2"/>
      </rPr>
      <t>)-</t>
    </r>
    <r>
      <rPr>
        <sz val="8.5"/>
        <color indexed="8"/>
        <rFont val="細明體"/>
        <family val="3"/>
      </rPr>
      <t>參加</t>
    </r>
    <r>
      <rPr>
        <sz val="8.5"/>
        <color indexed="8"/>
        <rFont val="Calibri"/>
        <family val="2"/>
      </rPr>
      <t>11th Asian Epigenomics Meeting 2016, Bangalore, India</t>
    </r>
    <r>
      <rPr>
        <sz val="8.5"/>
        <color indexed="8"/>
        <rFont val="細明體"/>
        <family val="3"/>
      </rPr>
      <t>科技部補助編號</t>
    </r>
    <r>
      <rPr>
        <sz val="8.5"/>
        <color indexed="8"/>
        <rFont val="Calibri"/>
        <family val="2"/>
      </rPr>
      <t>:105-2919-I-001-001-A1</t>
    </r>
  </si>
  <si>
    <r>
      <t>研發能量提升計畫</t>
    </r>
    <r>
      <rPr>
        <sz val="9"/>
        <color indexed="8"/>
        <rFont val="Calibri"/>
        <family val="2"/>
      </rPr>
      <t>-</t>
    </r>
    <r>
      <rPr>
        <sz val="9"/>
        <color indexed="8"/>
        <rFont val="細明體"/>
        <family val="3"/>
      </rPr>
      <t>基因體研究中心</t>
    </r>
  </si>
  <si>
    <t>參加The International Liver Congress 2016國際會議</t>
  </si>
  <si>
    <t>105/04/12-105/04/18</t>
  </si>
  <si>
    <t>105/10/04-105/10/18</t>
  </si>
  <si>
    <t>赴印度孟買參加icos21研討會，並發表演說</t>
  </si>
  <si>
    <t>105/12/10-105/12/17</t>
  </si>
  <si>
    <t>本次參加12月11日至12月16日於印度孟買的孟買理工學院舉辦之兩年一次的有機合成國際會議,慧中將發表本實驗室近期之研究成果外,也藉此機會了解最近有機合成之研究發表</t>
  </si>
  <si>
    <t>預期效益：參考該研究機構在使用相關健康資料運用於公共衛生與社區健康研究之實例，未來藉由相關交流及合作計畫，增進健康雲巨量健康資訊運用於提供實證研究成果，協助政府部門科學化決策依據。</t>
  </si>
  <si>
    <t>「中央研究院與美國頂尖大學及研究機構人才合作計畫」案</t>
  </si>
  <si>
    <t>參與"中央研究院與美國頂尖大學及研究機構人才培育合作計畫"前往USA Stanford University為期二年的研究</t>
  </si>
  <si>
    <r>
      <t xml:space="preserve">00028424
</t>
    </r>
    <r>
      <rPr>
        <sz val="10"/>
        <color indexed="8"/>
        <rFont val="細明體"/>
        <family val="3"/>
      </rPr>
      <t>補繳報告</t>
    </r>
  </si>
  <si>
    <r>
      <t xml:space="preserve">00028420
</t>
    </r>
    <r>
      <rPr>
        <sz val="10"/>
        <color indexed="8"/>
        <rFont val="細明體"/>
        <family val="3"/>
      </rPr>
      <t>補繳報告</t>
    </r>
  </si>
  <si>
    <t>參與實驗並收集數據</t>
  </si>
  <si>
    <t>參與實驗並收集實驗數據</t>
  </si>
  <si>
    <t>億康計畫 出國訪問及學術交流</t>
  </si>
  <si>
    <t>參與DIA年會可以了解整個新藥研發過程，從藥物探索、臨床前試驗、臨床試驗到商品化過程所需科學、法規、委外服務及管理等過程。藉此獲得與歐美同步的資訊與意見交流，以加強本計畫之運作。</t>
  </si>
  <si>
    <t>因應科技部規劃參與台灣生技商機論壇及2016 Bio International Convention北美生物科技產業展暨研討會，推廣生技醫藥國家型計畫並吸取國際相關研究經驗以促進國際合作與交流</t>
  </si>
  <si>
    <t>參與實驗收集數據</t>
  </si>
  <si>
    <t>2016年北美生物科技產業展暨研討會(BIO 2016)於105年6月6-9日假美國舊金山舉行。此活動業經報准科技部以本計畫名義參與國家形象展覽攤位展出及相關研討會活動，工作項目包括協助研討會辦理、會場佈置、現場解說與主動拜訪其他攤位等。</t>
  </si>
  <si>
    <t>出席Gordon Research Conferences 再到史丹佛大學應用化學系Prof. Frank Curtis實驗室進行移地研究</t>
  </si>
  <si>
    <t>協助執行科技部台俄雙邊計畫(奈米粒子和癌細胞在超音波下的物理和化學的交互作用機制)</t>
  </si>
  <si>
    <t>赴美國參加105年10月17日「BIO SPARK Showcase Event」研討會，與105年10月18、19日「Stanford SPARK 10th Anniversary」，並於105年10月20、21日安排參訪著名生技育成中心、新藥開發新創公司、拜會舊金山經文處科技組及當地華人生技創投。</t>
  </si>
  <si>
    <t>名稱:「BIO SPARK Showcase Event」「BIO INVESTOR FORUM 2016」 內容: 參與國際新藥團隊發表會、國際生技產業研究趨勢研討會，並媒合國內新藥團隊與國際創業投資公司</t>
  </si>
  <si>
    <r>
      <t xml:space="preserve">00028491
</t>
    </r>
    <r>
      <rPr>
        <sz val="7"/>
        <color indexed="8"/>
        <rFont val="細明體"/>
        <family val="3"/>
      </rPr>
      <t>補助單位為民間企業未要求繳交</t>
    </r>
    <r>
      <rPr>
        <sz val="7"/>
        <color indexed="8"/>
        <rFont val="Calibri"/>
        <family val="2"/>
      </rPr>
      <t>,</t>
    </r>
    <r>
      <rPr>
        <sz val="7"/>
        <color indexed="8"/>
        <rFont val="細明體"/>
        <family val="3"/>
      </rPr>
      <t>故無須提出報告</t>
    </r>
  </si>
  <si>
    <r>
      <t xml:space="preserve">00029090
</t>
    </r>
    <r>
      <rPr>
        <sz val="7"/>
        <color indexed="8"/>
        <rFont val="細明體"/>
        <family val="3"/>
      </rPr>
      <t>計畫尚未到期，報告尚未繳交，於計畫結案時一併繳交</t>
    </r>
  </si>
  <si>
    <r>
      <t xml:space="preserve">00028971
</t>
    </r>
    <r>
      <rPr>
        <sz val="7"/>
        <color indexed="8"/>
        <rFont val="細明體"/>
        <family val="3"/>
      </rPr>
      <t>計畫尚未到期，報告尚未繳交，於計畫結案時一併繳交</t>
    </r>
  </si>
  <si>
    <r>
      <t xml:space="preserve">00028979
</t>
    </r>
    <r>
      <rPr>
        <sz val="7"/>
        <color indexed="8"/>
        <rFont val="細明體"/>
        <family val="3"/>
      </rPr>
      <t>計畫尚未到期，報告尚未繳交，於計畫結案時一併繳交</t>
    </r>
  </si>
  <si>
    <r>
      <t xml:space="preserve">00030548
</t>
    </r>
    <r>
      <rPr>
        <sz val="7"/>
        <color indexed="8"/>
        <rFont val="細明體"/>
        <family val="3"/>
      </rPr>
      <t>辦理結案中</t>
    </r>
    <r>
      <rPr>
        <sz val="7"/>
        <color indexed="8"/>
        <rFont val="Calibri"/>
        <family val="2"/>
      </rPr>
      <t>,</t>
    </r>
    <r>
      <rPr>
        <sz val="7"/>
        <color indexed="8"/>
        <rFont val="細明體"/>
        <family val="3"/>
      </rPr>
      <t>於計畫結案時一併繳交</t>
    </r>
  </si>
  <si>
    <r>
      <t xml:space="preserve">00031528
</t>
    </r>
    <r>
      <rPr>
        <sz val="7"/>
        <color indexed="8"/>
        <rFont val="細明體"/>
        <family val="3"/>
      </rPr>
      <t>計畫尚未到期，報告尚未繳交，於計畫結案時一併繳交</t>
    </r>
  </si>
  <si>
    <r>
      <t xml:space="preserve">00031710
</t>
    </r>
    <r>
      <rPr>
        <sz val="7"/>
        <color indexed="8"/>
        <rFont val="細明體"/>
        <family val="3"/>
      </rPr>
      <t>計畫尚未到期，報告尚未繳交，於計畫結案時一併繳交</t>
    </r>
  </si>
  <si>
    <r>
      <t xml:space="preserve">00031407
</t>
    </r>
    <r>
      <rPr>
        <sz val="7"/>
        <color indexed="8"/>
        <rFont val="細明體"/>
        <family val="3"/>
      </rPr>
      <t>計畫尚未到期，報告尚未繳交，於計畫結案時一併繳交</t>
    </r>
  </si>
  <si>
    <t>調控HIF-1α主導之細胞免疫力：免疫耐容性及發炎性自體免疫反應之決定(3/5)_MOST 104-2321-B-001-067 -</t>
  </si>
  <si>
    <t>新型DNA甲基化調控蛋白Naa10p調控發育之機制探討_MOST103-2311-B-001-028-MY3</t>
  </si>
  <si>
    <t>蘇州參加 CSH - Asia Meeting: Chromatin, Epigenetics and Transcription 會議</t>
  </si>
  <si>
    <r>
      <t xml:space="preserve">00028492
</t>
    </r>
    <r>
      <rPr>
        <sz val="7"/>
        <color indexed="8"/>
        <rFont val="細明體"/>
        <family val="3"/>
      </rPr>
      <t>計畫尚未到期，報告尚未繳交，於計畫結案時一併繳交</t>
    </r>
  </si>
  <si>
    <t>105/05/05-105/05/09</t>
  </si>
  <si>
    <t>Beijing 11th International Conference on Medical, Medicine and Health Sciences</t>
  </si>
  <si>
    <t>受邀參加Beijing 11th International Conference on Medical, Medicine and Health Sciences並於會中給予演講</t>
  </si>
  <si>
    <r>
      <t xml:space="preserve">00028572
</t>
    </r>
    <r>
      <rPr>
        <sz val="10"/>
        <color indexed="8"/>
        <rFont val="細明體"/>
        <family val="3"/>
      </rPr>
      <t>補繳報告</t>
    </r>
  </si>
  <si>
    <t>合作計畫討論</t>
  </si>
  <si>
    <t>Viral, Host and Environmental Determinants of Influenza Virus Transmission and Pathogenesis。 討論合作計畫，收集論文發表實驗資料及指導合作單位實驗進行。</t>
  </si>
  <si>
    <t>計畫名稱：105年我國新藥加值創造與商業育成計畫 內容簡述：Si2C推動辦公室主要為進行我國生技研發能力之評估、建構及串連，策略性整合我國轉譯醫學研究能量等工作，並進行案源篩選、跨領域評估及專案管理輔導新藥研發團隊，提高其研發技術的價值，使其成果能順利邁向商業化階段。</t>
  </si>
  <si>
    <r>
      <t xml:space="preserve">00028335
</t>
    </r>
    <r>
      <rPr>
        <sz val="7"/>
        <color indexed="8"/>
        <rFont val="細明體"/>
        <family val="3"/>
      </rPr>
      <t>補助單位為民間企業未要求繳交</t>
    </r>
    <r>
      <rPr>
        <sz val="7"/>
        <color indexed="8"/>
        <rFont val="Calibri"/>
        <family val="2"/>
      </rPr>
      <t>,</t>
    </r>
    <r>
      <rPr>
        <sz val="7"/>
        <color indexed="8"/>
        <rFont val="細明體"/>
        <family val="3"/>
      </rPr>
      <t>故無須提出報告</t>
    </r>
  </si>
  <si>
    <r>
      <t xml:space="preserve">00031305
</t>
    </r>
    <r>
      <rPr>
        <sz val="7"/>
        <color indexed="8"/>
        <rFont val="細明體"/>
        <family val="3"/>
      </rPr>
      <t>補助單位為民間企業未要求繳交</t>
    </r>
    <r>
      <rPr>
        <sz val="7"/>
        <color indexed="8"/>
        <rFont val="Calibri"/>
        <family val="2"/>
      </rPr>
      <t>,</t>
    </r>
    <r>
      <rPr>
        <sz val="7"/>
        <color indexed="8"/>
        <rFont val="細明體"/>
        <family val="3"/>
      </rPr>
      <t>故無須提出報告</t>
    </r>
  </si>
  <si>
    <r>
      <t xml:space="preserve">00028613
</t>
    </r>
    <r>
      <rPr>
        <sz val="7"/>
        <color indexed="8"/>
        <rFont val="細明體"/>
        <family val="3"/>
      </rPr>
      <t>計畫尚未到期，報告尚未繳交，於計畫結案時一併繳交</t>
    </r>
  </si>
  <si>
    <t>00027553
補助單位為民間企業未要求繳交,故無須提出報告</t>
  </si>
  <si>
    <t>紅楠造癭癭蚋改編其寄主葉片蟲癭新陳代謝與形態之轉錄體研究_MOST 104-2621-B-001-007</t>
  </si>
  <si>
    <t>日本植物生理年會為植物專業研討會，從分子生物學、系統生物學、生理學至植物演化生理等皆含蓋於研討會範圍。由於日本植物學研究高於台灣，參與此會將能了解許多深入的研究方向，並與領域中的頂尖學者交流及分享本國之研究。</t>
  </si>
  <si>
    <t>105/03/17-105/03/21</t>
  </si>
  <si>
    <t>盛岡市</t>
  </si>
  <si>
    <t>105/03/17-105/03/23</t>
  </si>
  <si>
    <t>以創新分子技術調查台灣地區浮游動物空間及時間之多樣性_NSC 102-2611-M-001-002-MY3</t>
  </si>
  <si>
    <t>前往挪威卑爾根參加「第六屆浮游動物生產力研討會」。</t>
  </si>
  <si>
    <t>105/05/07-105/05/15</t>
  </si>
  <si>
    <t>卑爾根</t>
  </si>
  <si>
    <t>氣候變遷下東沙環礁生態彈性的空間異質的形式與機制研究-東沙內環礁珊瑚礁群聚空間異質形式與形成機制探討(1/3)_MOST 104-2621-B-001-010</t>
  </si>
  <si>
    <t>前往美國夏威夷參加『第十三屆珊瑚礁國際會議』</t>
  </si>
  <si>
    <t>105/06/18-105/07/04</t>
  </si>
  <si>
    <t>籬枝軸孔珊瑚的內岩生微生物群聚和其功能_MOST 104-2621-B-001-006</t>
  </si>
  <si>
    <t>參與第十三屆國際珊瑚礁會議，此為國際大型重要會議，將會有許多來自各國學者發表論文與研究討論，本實驗室致力於珊瑚礁共棲微生物之相關研究，出席此會議對於實驗室未來發展極為重要，而且此次將也會作論文發表以期獲得更多合作機會。</t>
  </si>
  <si>
    <t>105/06/18-105/06/28</t>
  </si>
  <si>
    <t>擴充台灣生物多樣性資訊國家入口網(TaiBIF)資訊設施與及促進GBIF社群聯繫_MOST 104-2621-B-001-009</t>
  </si>
  <si>
    <t>為執行「數位文化中心-總計畫」業務，生物多樣性研究中心邵廣昭研究員，預計前往德國萊比錫出席GEO BON開放科學會議發表論文。</t>
  </si>
  <si>
    <t>105/07/02-105/07/18</t>
  </si>
  <si>
    <t>都伯林(Dublin) 法蘭克福(Frankfurt) 萊比錫</t>
  </si>
  <si>
    <t>出席日本植物生理研討會，與國外學者交流以了解植物生理研究趨勢，並推廣本實驗室以及國內之研究。</t>
  </si>
  <si>
    <t>珊瑚有性生殖的可塑性在不同溫度環境之影響_MOST 103-2611-M-001-001-MY3</t>
  </si>
  <si>
    <t>珊瑚有性生殖的可塑性在不同溫度環境之影響 研究主題為在大尺度(不同緯度)及小尺度(不同溫度環境)珊瑚有性生殖的表現,透過移地研究觀察珊瑚生殖周期與溫度間的影響,本人的研究則探討珊瑚生殖的生理面向,諸如精囊,卵子大小的變異分析,與計畫之資料相互佐證,共構溫度對珊瑚生殖影響的全方面藍圖</t>
  </si>
  <si>
    <t>石灰岩植物之種化機制研究_MOST 103-2621-B-001-008-MY3</t>
  </si>
  <si>
    <t>參加第十屆馬來西亞植物誌國際研討會(10th International Flora Malesiana Symposium)，該研討會每三年舉辦一次，為重要的植物學國際研討會，今年由英國愛丁堡植物園主辦。此次將於大會口頭發表亞洲秋海棠的分子親緣關係及生物地理研究成果。</t>
  </si>
  <si>
    <t>105/07/09-105/08/22</t>
  </si>
  <si>
    <t>愛丁堡(Edinburgh) 洛杉磯(Los Angeles,California)</t>
  </si>
  <si>
    <t>稻熱病世界性收集菌株之基因組分析_MOST 104-2311-B-001-020</t>
  </si>
  <si>
    <t>稻熱病真菌可感染許多植物物種，引起全球嚴重作物損失。本計畫稻熱病菌種，利用比較基因組學來探討稻熱病真菌的演化遺傳和動態改變。針對基因庫的編碼資料，分析致病基因， 毒性蛋白，和疾病傳播相關的基因。</t>
  </si>
  <si>
    <t>105/06/05-105/06/10</t>
  </si>
  <si>
    <t>家鵝及家鴨基因體分析及水禽基因體比較_MOST 105-3111-Y-001-040</t>
  </si>
  <si>
    <t>以比較基因體學方法探討46種魚類及有頷類動物視覺基因之演化。</t>
  </si>
  <si>
    <t>105/07/01-105/07/10</t>
  </si>
  <si>
    <t>黃金海岸</t>
  </si>
  <si>
    <t>此計畫的目的是為了研究珊瑚的繁殖行為在溫度的變異下之影響，計畫執行第二年已收集大部分之數據，足以有初步的分析與討論。而參與此次美國夏威夷國際珊瑚礁研究學會第13屆研討會有助於與相關研究領域之學者間討論與交流，對於此計畫的數據之分析與討論能更完整與周詳，也能對於此計畫有更進一步的提升與拓展。</t>
  </si>
  <si>
    <t>105/06/19-105/06/26</t>
  </si>
  <si>
    <t>南海海洋生物物種暨遺傳多樣性研究-南海及東沙珊瑚 棲藤壺之多樣性研究(3/3)_MOST 104-2621-B-001-002</t>
  </si>
  <si>
    <t>前往新加坡參加2016國際甲殼類大會</t>
  </si>
  <si>
    <t>105/07/09-105/07/14</t>
  </si>
  <si>
    <t>籬枝軸孔珊瑚的內岩生微生物群聚和其功能_MOST 105-2621-B-001-004-MY3</t>
  </si>
  <si>
    <t>參與第五屆日台生態研討會，希望透過會議來促進不同背景的生態學家之間的溝通，以利生態研究更多樣化。</t>
  </si>
  <si>
    <t>105/11/11-105/11/18</t>
  </si>
  <si>
    <t>班腿樹蛙腸道菌微生物網路之研究與應用_MOST 105-2311-B-001-068</t>
  </si>
  <si>
    <t>前往新加坡出席「2016 生物資訊國際研討會」國際會議。</t>
  </si>
  <si>
    <t>105/09/20-105/09/28</t>
  </si>
  <si>
    <t>赴日本京都參加國際研討會並發表論文 (5th Japan-Taiwan Ecology Workshop)</t>
  </si>
  <si>
    <t>參加國際研討會並發表論文 (5th Japan-Taiwan Ecology Workshop)</t>
  </si>
  <si>
    <t>105/11/12-105/11/16</t>
  </si>
  <si>
    <t>出席第十三屆國際珊瑚礁大會</t>
  </si>
  <si>
    <t>邵研究員曾受內政部營建署委託組成團隊執行「南沙太平島劃設國家公園可行性之評估」及「南沙太平島生物多樣性調查」二計劃，除完成研究報告及資科庫，在國際學術期刊發表文章之外，並出版《南疆沃海》的圖鑑與影帶。可利用這四年一次國際會議的機會，配合馬總統的《南海和平倡議》，彰顯我國在南海的主權及學術研究水準，促進國際交流合作，能在國際學界廣為宣導傳播我國南海政策。</t>
  </si>
  <si>
    <t>105/06/18-105/06/26</t>
  </si>
  <si>
    <t>參加全球生物多樣性資訊機構節點委員會議及理事會議</t>
  </si>
  <si>
    <t>前往巴西巴西利亞出席全球生物多樣性資訊機構第23屆理事會暨節點委員會議</t>
  </si>
  <si>
    <t>105/10/22-105/10/28</t>
  </si>
  <si>
    <t>巴西利亞(Brisilia)</t>
  </si>
  <si>
    <r>
      <t xml:space="preserve">00029054
</t>
    </r>
    <r>
      <rPr>
        <sz val="8"/>
        <color indexed="8"/>
        <rFont val="細明體"/>
        <family val="3"/>
      </rPr>
      <t>計畫未結案併期末報告一併繳交。</t>
    </r>
  </si>
  <si>
    <r>
      <t xml:space="preserve">00029629
</t>
    </r>
    <r>
      <rPr>
        <sz val="8"/>
        <color indexed="8"/>
        <rFont val="細明體"/>
        <family val="3"/>
      </rPr>
      <t>計畫未結案併期末報告一併繳交。</t>
    </r>
  </si>
  <si>
    <r>
      <t xml:space="preserve">00028860
</t>
    </r>
    <r>
      <rPr>
        <sz val="8"/>
        <color indexed="8"/>
        <rFont val="細明體"/>
        <family val="3"/>
      </rPr>
      <t>計畫未結案併期末報告一併繳交。</t>
    </r>
  </si>
  <si>
    <r>
      <t xml:space="preserve">00029923
</t>
    </r>
    <r>
      <rPr>
        <sz val="8"/>
        <color indexed="8"/>
        <rFont val="細明體"/>
        <family val="3"/>
      </rPr>
      <t>計畫未結案併期末報告一併繳交。</t>
    </r>
  </si>
  <si>
    <r>
      <t xml:space="preserve">00032384
</t>
    </r>
    <r>
      <rPr>
        <sz val="8"/>
        <color indexed="8"/>
        <rFont val="細明體"/>
        <family val="3"/>
      </rPr>
      <t>出國申請人已於結案時個別繳交。</t>
    </r>
  </si>
  <si>
    <r>
      <t>研發能量提升計畫</t>
    </r>
    <r>
      <rPr>
        <sz val="10"/>
        <color indexed="8"/>
        <rFont val="Calibri"/>
        <family val="2"/>
      </rPr>
      <t>-</t>
    </r>
    <r>
      <rPr>
        <sz val="10"/>
        <color indexed="8"/>
        <rFont val="細明體"/>
        <family val="3"/>
      </rPr>
      <t>生物多樣性研究中心</t>
    </r>
  </si>
  <si>
    <t>應邀請前往韓國首爾梨花女子大學訪問與演講，並應邀前往韓國慶州市出席"2016 International Conference on Arabidopsis Research (ICAR)"暨於大會workshop演講</t>
  </si>
  <si>
    <t>慶州(Kyongju) 首爾(Seoul)</t>
  </si>
  <si>
    <t>前往美國芝加哥大學與密西根州立大學訪問暨進行學術合作研究</t>
  </si>
  <si>
    <t>105/10/23-105/11/01</t>
  </si>
  <si>
    <t>芝加哥(Chicago,Illinois) 密西根</t>
  </si>
  <si>
    <t>至韓國參加 International Conference on Arabidopsis Research (ICAR) 國際會議</t>
  </si>
  <si>
    <t>105/06/28-105/07/06</t>
  </si>
  <si>
    <t>參加阿拉伯芥國際研討會(2016 ICAR)，並張貼研究成果海報</t>
  </si>
  <si>
    <t>105/06/28-105/07/09</t>
  </si>
  <si>
    <t>尼泊爾埋葬蟲的替代穩定態與艾里效應_MOST 103-2621-B-001-003-MY3</t>
  </si>
  <si>
    <t>104/10/10-104/10/15</t>
  </si>
  <si>
    <r>
      <t xml:space="preserve">00025412
</t>
    </r>
    <r>
      <rPr>
        <sz val="6"/>
        <color indexed="8"/>
        <rFont val="細明體"/>
        <family val="3"/>
      </rPr>
      <t>計畫未結案併期中報告一併繳交。
調整三級用途別至大陸地區旅費。</t>
    </r>
  </si>
  <si>
    <t>105/12/17-105/12/29</t>
  </si>
  <si>
    <t>河內(Hanoi) 宣光(Tuyen Quang) 北乾(Bac Can) 高平(Cao Bang)</t>
  </si>
  <si>
    <t>前往沖繩進行機械藤壺資料收集及採樣調</t>
  </si>
  <si>
    <t>前往香港科技大學討論研究事宜及白海工作站進行研究合作實驗</t>
  </si>
  <si>
    <t>前往沖繩沿岸讀取先前設置之多變數環境測量儀,並檢查是否汰換。</t>
  </si>
  <si>
    <t>執行第一年南西伯利亞鹽湖之湖水與底泥樣本採集。</t>
  </si>
  <si>
    <t>應邀前往美國University of Texas-Houston, University of Chicago與University of Wisconsin, Madison訪問暨發表二場學術演講。</t>
  </si>
  <si>
    <t>執行第一年南西伯利亞之鹽湖湖水與底泥樣本採集。</t>
  </si>
  <si>
    <t>為執行科技部計畫-石灰岩植物之種化機制研究，至越南北部進行野外植物調查研究與採集，因目的地皆位於較偏遠之山區交通不便，需僱請當地司機及嚮導帶路以利研究之進行。</t>
  </si>
  <si>
    <t>前往俄羅斯白海工作站進行研究合作實驗</t>
  </si>
  <si>
    <t>前往法國巴黎自然歷史博物館檢視標本</t>
  </si>
  <si>
    <t>1) 與日本環境部生物多樣性中心討論第8屆亞太生物多樣性觀測網在台舉行之籌備 2) 與日本生物多樣性資訊機構討論亞洲生物多樣性資訊學訓練研習課程內容與規劃</t>
  </si>
  <si>
    <r>
      <t xml:space="preserve">00032070
</t>
    </r>
    <r>
      <rPr>
        <sz val="8.5"/>
        <color indexed="8"/>
        <rFont val="細明體"/>
        <family val="3"/>
      </rPr>
      <t>補助單位未要求繳交，故無須提出報告。</t>
    </r>
  </si>
  <si>
    <r>
      <t xml:space="preserve">00030673
</t>
    </r>
    <r>
      <rPr>
        <sz val="8.5"/>
        <color indexed="8"/>
        <rFont val="細明體"/>
        <family val="3"/>
      </rPr>
      <t>計畫未結案併期末報告一併繳交。</t>
    </r>
  </si>
  <si>
    <r>
      <t xml:space="preserve">00027420
</t>
    </r>
    <r>
      <rPr>
        <sz val="8.5"/>
        <color indexed="8"/>
        <rFont val="細明體"/>
        <family val="3"/>
      </rPr>
      <t>計畫未結案併期末報告一併繳交。</t>
    </r>
  </si>
  <si>
    <r>
      <t xml:space="preserve">00032843
</t>
    </r>
    <r>
      <rPr>
        <sz val="8.5"/>
        <color indexed="8"/>
        <rFont val="細明體"/>
        <family val="3"/>
      </rPr>
      <t>計畫未結案併期末報告一併繳交。</t>
    </r>
  </si>
  <si>
    <r>
      <t xml:space="preserve">00028636
</t>
    </r>
    <r>
      <rPr>
        <sz val="8.5"/>
        <color indexed="8"/>
        <rFont val="細明體"/>
        <family val="3"/>
      </rPr>
      <t>補助單位未要求繳交，故無須提出報告。</t>
    </r>
  </si>
  <si>
    <r>
      <t xml:space="preserve">00028707
</t>
    </r>
    <r>
      <rPr>
        <sz val="8.5"/>
        <color indexed="8"/>
        <rFont val="細明體"/>
        <family val="3"/>
      </rPr>
      <t>補助單位未要求繳交，故無須提出報告。</t>
    </r>
  </si>
  <si>
    <r>
      <t xml:space="preserve">00024386
</t>
    </r>
    <r>
      <rPr>
        <sz val="8.5"/>
        <color indexed="8"/>
        <rFont val="細明體"/>
        <family val="3"/>
      </rPr>
      <t>調整三級用途別至大陸地區旅費。</t>
    </r>
  </si>
  <si>
    <r>
      <t xml:space="preserve">00025412
</t>
    </r>
    <r>
      <rPr>
        <sz val="6"/>
        <color indexed="8"/>
        <rFont val="細明體"/>
        <family val="3"/>
      </rPr>
      <t>計畫未結案併期中報告一併繳交。
調整三級用途別至大陸地區旅費。</t>
    </r>
  </si>
  <si>
    <r>
      <t xml:space="preserve">00024386
</t>
    </r>
    <r>
      <rPr>
        <sz val="8"/>
        <color indexed="8"/>
        <rFont val="細明體"/>
        <family val="3"/>
      </rPr>
      <t>調整三級用途別至大陸地區旅費。</t>
    </r>
  </si>
  <si>
    <t>00030866</t>
  </si>
  <si>
    <t>00031012</t>
  </si>
  <si>
    <t>00030852</t>
  </si>
  <si>
    <t>代間交換：比較東亞家庭的互惠、互動與凝聚_104-2410-H-001-053-MY2</t>
  </si>
  <si>
    <t>參加「第23屆跨文化心理學國際學會年會」發表論文,與對此研究專家學者討論,進行學術交流。</t>
  </si>
  <si>
    <t>105/07/29-105/08/04</t>
  </si>
  <si>
    <t>名古屋(Nagoya)</t>
  </si>
  <si>
    <t>長期照護三段預防策略之空間決策分析－高齡化社區公共衛生資源分配與可近性之空間分析(子計畫一)(1/3)_104-2627-M-001-009-</t>
  </si>
  <si>
    <t>參加「2016年美國地理學會年會」發表研究成果，並與健康地理領域的研究學者交流，洽談未來學術合作的可能性。</t>
  </si>
  <si>
    <t>105/03/28-105/04/04</t>
  </si>
  <si>
    <t>建構和運用都市原住民生活發展基礎資料庫_</t>
  </si>
  <si>
    <t>參加「Geographical Institute of Astronomy and Earth Sciences,Hungarian Academy of Sciences Workshop」發表論文，並洽談雙邊學術研究合作事宜。</t>
  </si>
  <si>
    <t>105/02/20-105/02/27</t>
  </si>
  <si>
    <t>布達佩斯(Budapest)</t>
  </si>
  <si>
    <t>訪問互動中的人際投入與工作投入：訪員經驗所扮演的角色與對資料品質的影響_103-2410-H-001-094-MY2</t>
  </si>
  <si>
    <t>參加「美國民意研究協會第七十一屆年度會議」（The American Association for Public Opinion Research (AAPOR) 71th Annual Conference）並發表論文。</t>
  </si>
  <si>
    <t>105/05/11-105/05/22</t>
  </si>
  <si>
    <t>參加「2016國際開放資料大會」並協助發表論文。</t>
  </si>
  <si>
    <t>105/10/01-105/10/09</t>
  </si>
  <si>
    <t>IASSIST(International Association for Social Science Information Services &amp; Technology)是由國際資料服務與技術專家組成的學會，年會主題包括數據資料服務、資料安全與其他資料管理相關議題，為瞭解國外相關領域最新的發展概況，並增進與國際資料中心的交流與合作，參加第42屆IASSIST年會並發表海報論文。</t>
  </si>
  <si>
    <t>105/05/29-105/06/06</t>
  </si>
  <si>
    <t>Bergen</t>
  </si>
  <si>
    <t>參加「2016國際開放資料大會」並發表論文。</t>
  </si>
  <si>
    <t>國際社會學會RC55主席參與計畫(2/3)_105-2911-I-001-502</t>
  </si>
  <si>
    <t>參加「國際社會學會社會學論壇」發表論文，並出席RC主席會議。</t>
  </si>
  <si>
    <t>105/07/07-105/07/18</t>
  </si>
  <si>
    <t>700551廖培珊赴日出席國際會議旅費(MOST 105-2914-I-001-006-A1)</t>
  </si>
  <si>
    <t>參加「日本數理社會學會第61次大會」並發表論文。</t>
  </si>
  <si>
    <t>105/03/15-105/03/19</t>
  </si>
  <si>
    <t>700552王千文赴美出席國際會議旅費(MOST105-2914-I-001-010-A1)</t>
  </si>
  <si>
    <t>參加「美國公共行政學會年會」(American Society for Public Administration's 77th Annual Conference)並發表論文。</t>
  </si>
  <si>
    <t>105/03/17-105/03/24</t>
  </si>
  <si>
    <t>700563賴孚權赴美出席國際會議旅費 (MOST 105-2914-I-001-149-A1)</t>
  </si>
  <si>
    <t>參加「63rd Annual North American Meetings of the Regional Science Association international」研討會並發表論文。</t>
  </si>
  <si>
    <t>105/11/07-105/11/15</t>
  </si>
  <si>
    <t>明尼亞波里斯(Minneapolis, Minnesota)</t>
  </si>
  <si>
    <r>
      <t>科研環境領航計畫</t>
    </r>
    <r>
      <rPr>
        <sz val="10"/>
        <color indexed="8"/>
        <rFont val="Calibri"/>
        <family val="2"/>
      </rPr>
      <t>-</t>
    </r>
    <r>
      <rPr>
        <sz val="10"/>
        <color indexed="8"/>
        <rFont val="細明體"/>
        <family val="3"/>
      </rPr>
      <t>人文社會科學研究中心</t>
    </r>
  </si>
  <si>
    <t>參加「第48屆亞太地區公共衛生學會」並以壁報（poster）方式發表論文。</t>
  </si>
  <si>
    <t>105/09/17-105/09/19</t>
  </si>
  <si>
    <t>參加「2016美國地理學年會」(American Association of Geographers)(AAG)並發表論文。</t>
  </si>
  <si>
    <t>105/03/31-105/04/10</t>
  </si>
  <si>
    <t>舊金山(San Francisco,California) Arizona</t>
  </si>
  <si>
    <t>參加「2016年國際疾病監測年會」(ISDS)並發表論文。</t>
  </si>
  <si>
    <t>105/12/05-105/12/10</t>
  </si>
  <si>
    <t>參加「The 5th International Conference on Frontier Computing」會議並發表論文。</t>
  </si>
  <si>
    <t>105/07/12-105/07/17</t>
  </si>
  <si>
    <t>廖培珊女士計畫結餘款再運用（700006）</t>
  </si>
  <si>
    <t>參加「The Conference on Data Sharing and Beyond among East Asian Countries」會議並協助發表報告。</t>
  </si>
  <si>
    <t>105/01/29-105/02/01</t>
  </si>
  <si>
    <t>參加「The Conference on Data Sharing and Beyond in among East Asian countries」會議並發表報告。</t>
  </si>
  <si>
    <t>參加「The Second International Conference on Survey Methods in Multinational, Multiregional and Multicultural Contexts」 (3MC 2016)並發表論文。</t>
  </si>
  <si>
    <t>105/07/25-105/07/30</t>
  </si>
  <si>
    <t>700005蔡明璋計畫結餘款再運用</t>
  </si>
  <si>
    <t>執行科技部「公．私領域之間：長崎僑領陳世望（1901-1940）」計畫，赴日本長崎移地研究。</t>
  </si>
  <si>
    <t>執行科技部「自由民主與社會主義：兼及當代中國的自由民主論爭」計畫，赴英國倫敦政經學院、劍橋大學移地研究。</t>
  </si>
  <si>
    <t>執行「東亞家庭代間交換與接觸」計畫，前往早稻田大學的圖書館查閱日本社會與相關老年的社會政策背景及相關文獻。</t>
  </si>
  <si>
    <t>參加「Political Theory from East Asia: Toward New Perspectives」學術研討會，並發表論文。</t>
  </si>
  <si>
    <t>105/12/02-105/12/04</t>
  </si>
  <si>
    <t>700005蔡明璋計畫結餘款再運用</t>
  </si>
  <si>
    <t>參加「社會分層變化新趨勢與全面建成小康社會研討會暨中國社會學社會分層與流動專業委員會冬季論壇（2016）」並發表論文。</t>
  </si>
  <si>
    <t>700009張福建先生計畫結餘款再運用</t>
  </si>
  <si>
    <t>105/10/19-105/11/01</t>
  </si>
  <si>
    <t>北京(Beijing) 杭州(Hangzhou)</t>
  </si>
  <si>
    <t>執行科技部「網路拍賣制度的研究」計畫，赴西安交通大學與博士班學生韓雍進行本計畫的細部研究討論。</t>
  </si>
  <si>
    <t>執行科技部「網路拍賣制度的研究」計畫，赴大陸西安交通大學與博士班學生進行計畫的細部研究討論。</t>
  </si>
  <si>
    <t>參加「2016年海峽兩岸應用統計學術研討會」，與參與學者在調查方法與缺失資料分析等方面進行研究統論，期待藉由合作交流的機會，能提高調查方法的廣泛應用。</t>
  </si>
  <si>
    <t>執行科技部「在自我選擇環境下的合作問題：理論、實驗及儒家文化中的驗證」計畫，赴上海復旦大學移地研究。</t>
  </si>
  <si>
    <t>執行科技部「網路拍賣制度的研究」計畫，至西安交通大學與博士班學生韓雍，進行計畫細部研究討論。</t>
  </si>
  <si>
    <t>105/10/19-10/24赴北京蒐集中國近代憲政史相關資料，10/25-11/1赴大陸杭州市參加浙江大學地方政府與社會治理研究中心主辦之「選舉與治理：一個比較的研究」專題研討班。</t>
  </si>
  <si>
    <t>105年8月13日至8月17日，出席於中國舉行的【第六屆海峽兩岸磁共振學術會議CSMRS-6及會前會】</t>
  </si>
  <si>
    <t>105/08/13-105/08/18</t>
  </si>
  <si>
    <t>西安/敦煌/蘭州 西安(Xian) 敦煌</t>
  </si>
  <si>
    <t>西安市/敦煌市/蘭州市</t>
  </si>
  <si>
    <r>
      <t>科研環境領航計畫</t>
    </r>
    <r>
      <rPr>
        <sz val="10"/>
        <color indexed="8"/>
        <rFont val="Calibri"/>
        <family val="2"/>
      </rPr>
      <t>-</t>
    </r>
    <r>
      <rPr>
        <sz val="10"/>
        <color indexed="8"/>
        <rFont val="細明體"/>
        <family val="3"/>
      </rPr>
      <t>生物醫學科學研究所</t>
    </r>
  </si>
  <si>
    <r>
      <rPr>
        <sz val="10"/>
        <color indexed="8"/>
        <rFont val="細明體"/>
        <family val="3"/>
      </rPr>
      <t>參加於美國加州舊金山舉辦之</t>
    </r>
    <r>
      <rPr>
        <sz val="10"/>
        <color indexed="8"/>
        <rFont val="Calibri"/>
        <family val="2"/>
      </rPr>
      <t>Photonics West 2016</t>
    </r>
    <r>
      <rPr>
        <sz val="10"/>
        <color indexed="8"/>
        <rFont val="細明體"/>
        <family val="3"/>
      </rPr>
      <t>國際研討會</t>
    </r>
  </si>
  <si>
    <t>105/02/14-105/02/20</t>
  </si>
  <si>
    <t>本次參加會議將以口頭發表論文，並與該領域之各國學者做交流。</t>
  </si>
  <si>
    <t>105/01/15-105/01/24</t>
  </si>
  <si>
    <r>
      <rPr>
        <sz val="10"/>
        <color indexed="8"/>
        <rFont val="細明體"/>
        <family val="3"/>
      </rPr>
      <t>受邀前往日本京都大學參加</t>
    </r>
    <r>
      <rPr>
        <sz val="10"/>
        <color indexed="8"/>
        <rFont val="Calibri"/>
        <family val="2"/>
      </rPr>
      <t>the 7th Japan-Taiwan Symposium on Nanomedicine</t>
    </r>
    <r>
      <rPr>
        <sz val="10"/>
        <color indexed="8"/>
        <rFont val="細明體"/>
        <family val="3"/>
      </rPr>
      <t>並發表論文。</t>
    </r>
  </si>
  <si>
    <t>105/01/20-105/01/23</t>
  </si>
  <si>
    <r>
      <rPr>
        <sz val="10"/>
        <color indexed="8"/>
        <rFont val="細明體"/>
        <family val="3"/>
      </rPr>
      <t>參加</t>
    </r>
    <r>
      <rPr>
        <sz val="10"/>
        <color indexed="8"/>
        <rFont val="Calibri"/>
        <family val="2"/>
      </rPr>
      <t xml:space="preserve"> 2016 229th The Electrochemical Society Meeting</t>
    </r>
    <r>
      <rPr>
        <sz val="10"/>
        <color indexed="8"/>
        <rFont val="細明體"/>
        <family val="3"/>
      </rPr>
      <t>做口頭報告</t>
    </r>
  </si>
  <si>
    <t>105/05/28-105/06/03</t>
  </si>
  <si>
    <t>參加美國材料學會(Materials Research Society)在美國亞利桑那州鳳凰城舉行之國際材料學會春季會議(2016MRS Spring Meeting)。</t>
  </si>
  <si>
    <t>105/03/22-105/04/06</t>
  </si>
  <si>
    <r>
      <rPr>
        <sz val="10"/>
        <color indexed="8"/>
        <rFont val="細明體"/>
        <family val="3"/>
      </rPr>
      <t>參加國際會議</t>
    </r>
    <r>
      <rPr>
        <sz val="10"/>
        <color indexed="8"/>
        <rFont val="Calibri"/>
        <family val="2"/>
      </rPr>
      <t xml:space="preserve"> Graphene 2016</t>
    </r>
  </si>
  <si>
    <t>105/04/17-105/04/24</t>
  </si>
  <si>
    <t>Genova</t>
  </si>
  <si>
    <t>參加251屆美國化學協會研討會</t>
  </si>
  <si>
    <t>105/03/11-105/03/25</t>
  </si>
  <si>
    <t>出國參加會議 Graphene 2016 並發表論文</t>
  </si>
  <si>
    <r>
      <rPr>
        <sz val="10"/>
        <color indexed="8"/>
        <rFont val="細明體"/>
        <family val="3"/>
      </rPr>
      <t>在會議將報告職在小分子太陽能電池模擬之最新成果並</t>
    </r>
    <r>
      <rPr>
        <sz val="10"/>
        <color indexed="8"/>
        <rFont val="細明體"/>
        <family val="3"/>
      </rPr>
      <t>負責主持論壇工作。</t>
    </r>
  </si>
  <si>
    <t>105/05/01-105/06/10</t>
  </si>
  <si>
    <t>Lille 巴黎(Paris) 布加勒斯特(Bucharest)</t>
  </si>
  <si>
    <t>參加美國聖地牙哥舉行之電化學會議(2016 229th The Electrochemical Society Meeting)，並在此會中作口頭報告，標題為:“Sulfur Impregnated Expanded Graphene Cathode for High Performance Lithium Sulfur Batteries”。</t>
  </si>
  <si>
    <t>105/05/28-105/06/05</t>
  </si>
  <si>
    <t>參加 251st American Chemical Society National Meeting，張貼研究成果海報發表，以及學術研究交流。</t>
  </si>
  <si>
    <t>105/03/11-105/03/18</t>
  </si>
  <si>
    <t>里昂(Lyon)</t>
  </si>
  <si>
    <t>105/07/02-105/07/08</t>
  </si>
  <si>
    <t>出席能源材料奈米會議</t>
  </si>
  <si>
    <t>105/08/21-105/08/28</t>
  </si>
  <si>
    <t>柏林(Berlin)</t>
  </si>
  <si>
    <t>本次出席重要的國際光電會議, 將報告我們最新的研究成果</t>
  </si>
  <si>
    <t>105/08/26-105/09/04</t>
  </si>
  <si>
    <t>參加在美國加州聖地牙哥市(San Diego)舉行之2016年SPIE光電科技會議.</t>
  </si>
  <si>
    <t>105/08/25-105/09/06</t>
  </si>
  <si>
    <t>本次會議將報告生物檢測平台。</t>
  </si>
  <si>
    <t>105/09/04-105/09/09</t>
  </si>
  <si>
    <t>濱松(Hamamatsu)</t>
  </si>
  <si>
    <t>前往芬蘭參加NPO2016會議</t>
  </si>
  <si>
    <t>105/07/30-105/08/08</t>
  </si>
  <si>
    <t>Imatra</t>
  </si>
  <si>
    <t>出國參加 NFO-14: The 14th International Conference of Near-Field Optics, Nanophotonics and Related Techniques會議</t>
  </si>
  <si>
    <t>105/09/03-105/09/21</t>
  </si>
  <si>
    <t>前往日本濱松市參加九月四日至九月八日舉行的第十四屆近場光學國際研討會(The 14th International Conference on Near-Field Optics, Nanophotonics, and Related Techniques並發表研究成果。</t>
  </si>
  <si>
    <t>105/09/05-105/09/09</t>
  </si>
  <si>
    <t>105/09/02-105/09/11</t>
  </si>
  <si>
    <t>出席國際會議Spie Optics + Photonics 2016,並發表論文及演講</t>
  </si>
  <si>
    <t>105/08/29-105/09/03</t>
  </si>
  <si>
    <t>參加The 14th International Conference of Near-Field Optics, Nanophotonics and Related Techniques 研討會</t>
  </si>
  <si>
    <t>參加第十四屆國際近場光學,奈米光子學及相關技術之研討會(NFO-14)，在此會議中本實驗室將發表三篇海報論文。</t>
  </si>
  <si>
    <t>105/09/03-105/09/12</t>
  </si>
  <si>
    <t>出席歐洲材料會議</t>
  </si>
  <si>
    <t>105/09/16-105/10/08</t>
  </si>
  <si>
    <t>華沙(Warsaw) 波爾多</t>
  </si>
  <si>
    <r>
      <rPr>
        <sz val="10"/>
        <color indexed="8"/>
        <rFont val="細明體"/>
        <family val="3"/>
      </rPr>
      <t>參加於美國加州舊金山所舉辦之美國細胞生物學會年會</t>
    </r>
    <r>
      <rPr>
        <sz val="10"/>
        <color indexed="8"/>
        <rFont val="Calibri"/>
        <family val="2"/>
      </rPr>
      <t xml:space="preserve"> (ASCB Annual Meeting)</t>
    </r>
  </si>
  <si>
    <t>105/12/02-105/12/18</t>
  </si>
  <si>
    <t>參加 EMBS Micro and Nanotechnology in Medicine Conference 12-16 december 2016, Hawaii</t>
  </si>
  <si>
    <t>105/12/07-105/12/19</t>
  </si>
  <si>
    <t>參加2016固態元件與材料會議</t>
  </si>
  <si>
    <t>105/09/24-105/09/29</t>
  </si>
  <si>
    <t>筑波</t>
  </si>
  <si>
    <t>參加 International Electron Devices Meeting (2016 IEDM), 於該國際會議中口頭發表研究主題”A Numerical Study of Si-TMD Contact with n/p Type Operation and Interface Barrier Reduction for Sub-5 nm Monolayer MoS2 FET”之論文</t>
  </si>
  <si>
    <t>105/12/02-105/12/12</t>
  </si>
  <si>
    <t>Attend conference to present research results, meet with international researcher in the field, and learn the newest research development.</t>
  </si>
  <si>
    <t>105/06/05-105/06/12</t>
  </si>
  <si>
    <t>赴美國洛杉磯參加美國生物物理年會，順道參訪 UCLA Prof. Li-Jung Liang及 UCSD Prof. Michael K. Gilson</t>
  </si>
  <si>
    <t>105/01/27-105/03/04</t>
  </si>
  <si>
    <t>洛杉磯(Los Angeles,California) 聖地牙哥(San Diego,California)</t>
  </si>
  <si>
    <r>
      <rPr>
        <sz val="10"/>
        <color indexed="8"/>
        <rFont val="細明體"/>
        <family val="3"/>
      </rPr>
      <t>前往加拿大魁北克參加奈米材料與應用</t>
    </r>
    <r>
      <rPr>
        <sz val="10"/>
        <color indexed="8"/>
        <rFont val="Calibri"/>
        <family val="2"/>
      </rPr>
      <t xml:space="preserve"> (Nano 2016 Conference) </t>
    </r>
    <r>
      <rPr>
        <sz val="10"/>
        <color indexed="8"/>
        <rFont val="細明體"/>
        <family val="3"/>
      </rPr>
      <t>的大型研討會</t>
    </r>
    <r>
      <rPr>
        <sz val="10"/>
        <color indexed="8"/>
        <rFont val="Calibri"/>
        <family val="2"/>
      </rPr>
      <t>,</t>
    </r>
    <r>
      <rPr>
        <sz val="10"/>
        <color indexed="8"/>
        <rFont val="細明體"/>
        <family val="3"/>
      </rPr>
      <t>在會議期間發表演說</t>
    </r>
  </si>
  <si>
    <t>105/08/02-105/08/17</t>
  </si>
  <si>
    <t>參加第十四屆國際近場光學,奈米光子學及相關技術之研討會並發表海報論文</t>
  </si>
  <si>
    <t>105/09/03-105/09/14</t>
  </si>
  <si>
    <r>
      <rPr>
        <sz val="10"/>
        <color indexed="8"/>
        <rFont val="細明體"/>
        <family val="3"/>
      </rPr>
      <t>赴美國舊金山參加</t>
    </r>
    <r>
      <rPr>
        <sz val="10"/>
        <color indexed="8"/>
        <rFont val="Calibri"/>
        <family val="2"/>
      </rPr>
      <t>SPIE Photonics West</t>
    </r>
    <r>
      <rPr>
        <sz val="10"/>
        <color indexed="8"/>
        <rFont val="細明體"/>
        <family val="3"/>
      </rPr>
      <t>研討會</t>
    </r>
  </si>
  <si>
    <t>105/04/28-105/05/17</t>
  </si>
  <si>
    <t>里爾(Lille)</t>
  </si>
  <si>
    <t>赴法國Lille參加2016 E-MRS Spring Meeting，並於會中發表研究成果。</t>
  </si>
  <si>
    <t>Lille(里爾)</t>
  </si>
  <si>
    <t>63RA36　計畫結餘款再運用-RA36董奕鍾</t>
  </si>
  <si>
    <t>於美國細胞生物學會年會進行壁報報告。</t>
  </si>
  <si>
    <r>
      <rPr>
        <sz val="9"/>
        <color indexed="8"/>
        <rFont val="細明體"/>
        <family val="3"/>
      </rPr>
      <t>謝啟迪博士後研究員擬於</t>
    </r>
    <r>
      <rPr>
        <sz val="9"/>
        <color indexed="8"/>
        <rFont val="Calibri"/>
        <family val="2"/>
      </rPr>
      <t>105</t>
    </r>
    <r>
      <rPr>
        <sz val="9"/>
        <color indexed="8"/>
        <rFont val="細明體"/>
        <family val="3"/>
      </rPr>
      <t>年</t>
    </r>
    <r>
      <rPr>
        <sz val="9"/>
        <color indexed="8"/>
        <rFont val="Calibri"/>
        <family val="2"/>
      </rPr>
      <t>2</t>
    </r>
    <r>
      <rPr>
        <sz val="9"/>
        <color indexed="8"/>
        <rFont val="細明體"/>
        <family val="3"/>
      </rPr>
      <t>月赴美國舊金山參加</t>
    </r>
    <r>
      <rPr>
        <sz val="9"/>
        <color indexed="8"/>
        <rFont val="Calibri"/>
        <family val="2"/>
      </rPr>
      <t>SPIE Photonics West</t>
    </r>
    <r>
      <rPr>
        <sz val="9"/>
        <color indexed="8"/>
        <rFont val="細明體"/>
        <family val="3"/>
      </rPr>
      <t>研討會</t>
    </r>
    <r>
      <rPr>
        <sz val="9"/>
        <color indexed="8"/>
        <rFont val="Calibri"/>
        <family val="2"/>
      </rPr>
      <t>(</t>
    </r>
    <r>
      <rPr>
        <sz val="9"/>
        <color indexed="8"/>
        <rFont val="細明體"/>
        <family val="3"/>
      </rPr>
      <t>補助編號：</t>
    </r>
    <r>
      <rPr>
        <sz val="9"/>
        <color indexed="8"/>
        <rFont val="Calibri"/>
        <family val="2"/>
      </rPr>
      <t>105-2914-I-001-001-A1)</t>
    </r>
  </si>
  <si>
    <r>
      <rPr>
        <sz val="8"/>
        <color indexed="8"/>
        <rFont val="細明體"/>
        <family val="3"/>
      </rPr>
      <t>參加歐洲材料學會在法國李爾城舉行之國際材料春季會議並作一項研究成果報告。標題為</t>
    </r>
    <r>
      <rPr>
        <sz val="8"/>
        <color indexed="8"/>
        <rFont val="Calibri"/>
        <family val="2"/>
      </rPr>
      <t>:"The interfacial carrier transfer property of ZnO/Au hetero-junction systems"(poster session)</t>
    </r>
    <r>
      <rPr>
        <sz val="8"/>
        <color indexed="8"/>
        <rFont val="細明體"/>
        <family val="3"/>
      </rPr>
      <t>。</t>
    </r>
  </si>
  <si>
    <r>
      <rPr>
        <sz val="8"/>
        <color indexed="8"/>
        <rFont val="細明體"/>
        <family val="3"/>
      </rPr>
      <t>參加在法國里昂舉行之</t>
    </r>
    <r>
      <rPr>
        <sz val="8"/>
        <color indexed="8"/>
        <rFont val="Calibri"/>
        <family val="2"/>
      </rPr>
      <t>STATPHYS26</t>
    </r>
    <r>
      <rPr>
        <sz val="8"/>
        <color indexed="8"/>
        <rFont val="細明體"/>
        <family val="3"/>
      </rPr>
      <t>國際會議，並發表成果「</t>
    </r>
    <r>
      <rPr>
        <sz val="8"/>
        <color indexed="8"/>
        <rFont val="Calibri"/>
        <family val="2"/>
      </rPr>
      <t>Coordinated and correlated dynamics of human topoisomerase II orchestrating DNA re-ligation</t>
    </r>
    <r>
      <rPr>
        <sz val="8"/>
        <color indexed="8"/>
        <rFont val="細明體"/>
        <family val="3"/>
      </rPr>
      <t>」</t>
    </r>
  </si>
  <si>
    <r>
      <rPr>
        <sz val="9"/>
        <color indexed="8"/>
        <rFont val="細明體"/>
        <family val="3"/>
      </rPr>
      <t>參加國際會議</t>
    </r>
    <r>
      <rPr>
        <sz val="9"/>
        <color indexed="8"/>
        <rFont val="Calibri"/>
        <family val="2"/>
      </rPr>
      <t>NFO-14: The 14th International Conference of Near-Field Optics, Nanophotonics and Related Techniques</t>
    </r>
    <r>
      <rPr>
        <sz val="9"/>
        <color indexed="8"/>
        <rFont val="細明體"/>
        <family val="3"/>
      </rPr>
      <t>。</t>
    </r>
  </si>
  <si>
    <r>
      <rPr>
        <sz val="8"/>
        <color indexed="8"/>
        <rFont val="細明體"/>
        <family val="3"/>
      </rPr>
      <t>參加第十四屆近場光學國際研討會</t>
    </r>
    <r>
      <rPr>
        <sz val="8"/>
        <color indexed="8"/>
        <rFont val="Calibri"/>
        <family val="2"/>
      </rPr>
      <t>(The 14th International Conference on Near-Field Optics, Nanophotonics, and Related Techniques (NFO-14))</t>
    </r>
    <r>
      <rPr>
        <sz val="8"/>
        <color indexed="8"/>
        <rFont val="細明體"/>
        <family val="3"/>
      </rPr>
      <t>並於會議中發表研究成果。</t>
    </r>
  </si>
  <si>
    <r>
      <rPr>
        <sz val="8"/>
        <color indexed="8"/>
        <rFont val="細明體"/>
        <family val="3"/>
      </rPr>
      <t>於</t>
    </r>
    <r>
      <rPr>
        <sz val="8"/>
        <color indexed="8"/>
        <rFont val="Calibri"/>
        <family val="2"/>
      </rPr>
      <t>105</t>
    </r>
    <r>
      <rPr>
        <sz val="8"/>
        <color indexed="8"/>
        <rFont val="細明體"/>
        <family val="3"/>
      </rPr>
      <t>年</t>
    </r>
    <r>
      <rPr>
        <sz val="8"/>
        <color indexed="8"/>
        <rFont val="Calibri"/>
        <family val="2"/>
      </rPr>
      <t>5</t>
    </r>
    <r>
      <rPr>
        <sz val="8"/>
        <color indexed="8"/>
        <rFont val="細明體"/>
        <family val="3"/>
      </rPr>
      <t>月</t>
    </r>
    <r>
      <rPr>
        <sz val="8"/>
        <color indexed="8"/>
        <rFont val="Calibri"/>
        <family val="2"/>
      </rPr>
      <t>2</t>
    </r>
    <r>
      <rPr>
        <sz val="8"/>
        <color indexed="8"/>
        <rFont val="細明體"/>
        <family val="3"/>
      </rPr>
      <t>日至</t>
    </r>
    <r>
      <rPr>
        <sz val="8"/>
        <color indexed="8"/>
        <rFont val="Calibri"/>
        <family val="2"/>
      </rPr>
      <t>5</t>
    </r>
    <r>
      <rPr>
        <sz val="8"/>
        <color indexed="8"/>
        <rFont val="細明體"/>
        <family val="3"/>
      </rPr>
      <t>月</t>
    </r>
    <r>
      <rPr>
        <sz val="8"/>
        <color indexed="8"/>
        <rFont val="Calibri"/>
        <family val="2"/>
      </rPr>
      <t>6</t>
    </r>
    <r>
      <rPr>
        <sz val="8"/>
        <color indexed="8"/>
        <rFont val="細明體"/>
        <family val="3"/>
      </rPr>
      <t>日參加在法國里爾舉行之歐洲材料學會春季會議</t>
    </r>
    <r>
      <rPr>
        <sz val="8"/>
        <color indexed="8"/>
        <rFont val="Calibri"/>
        <family val="2"/>
      </rPr>
      <t>(2016 EMRS Spring Meeting)</t>
    </r>
    <r>
      <rPr>
        <sz val="8"/>
        <color indexed="8"/>
        <rFont val="細明體"/>
        <family val="3"/>
      </rPr>
      <t>。將在此會議作研究成果報告。</t>
    </r>
  </si>
  <si>
    <r>
      <t xml:space="preserve">00028641
</t>
    </r>
    <r>
      <rPr>
        <sz val="8"/>
        <color indexed="8"/>
        <rFont val="細明體"/>
        <family val="3"/>
      </rPr>
      <t>補助單位為國外機構未要求繳交</t>
    </r>
    <r>
      <rPr>
        <sz val="8"/>
        <color indexed="8"/>
        <rFont val="Calibri"/>
        <family val="2"/>
      </rPr>
      <t>,</t>
    </r>
    <r>
      <rPr>
        <sz val="8"/>
        <color indexed="8"/>
        <rFont val="細明體"/>
        <family val="3"/>
      </rPr>
      <t>故無須提出報告</t>
    </r>
  </si>
  <si>
    <r>
      <t xml:space="preserve">00028386
</t>
    </r>
    <r>
      <rPr>
        <sz val="8"/>
        <color indexed="8"/>
        <rFont val="細明體"/>
        <family val="3"/>
      </rPr>
      <t>此經費補助</t>
    </r>
    <r>
      <rPr>
        <sz val="8"/>
        <color indexed="8"/>
        <rFont val="Calibri"/>
        <family val="2"/>
      </rPr>
      <t>5/1-6</t>
    </r>
    <r>
      <rPr>
        <sz val="8"/>
        <color indexed="8"/>
        <rFont val="細明體"/>
        <family val="3"/>
      </rPr>
      <t>生活費及註冊費</t>
    </r>
  </si>
  <si>
    <r>
      <t xml:space="preserve">00028914
</t>
    </r>
    <r>
      <rPr>
        <sz val="8"/>
        <color indexed="8"/>
        <rFont val="細明體"/>
        <family val="3"/>
      </rPr>
      <t>補助單位為國外機構未要求繳交</t>
    </r>
    <r>
      <rPr>
        <sz val="8"/>
        <color indexed="8"/>
        <rFont val="Calibri"/>
        <family val="2"/>
      </rPr>
      <t>,</t>
    </r>
    <r>
      <rPr>
        <sz val="8"/>
        <color indexed="8"/>
        <rFont val="細明體"/>
        <family val="3"/>
      </rPr>
      <t>故無須提出報告</t>
    </r>
  </si>
  <si>
    <r>
      <t xml:space="preserve">00030720
</t>
    </r>
    <r>
      <rPr>
        <sz val="7"/>
        <color indexed="8"/>
        <rFont val="細明體"/>
        <family val="3"/>
      </rPr>
      <t>未結案</t>
    </r>
    <r>
      <rPr>
        <sz val="7"/>
        <color indexed="8"/>
        <rFont val="Calibri"/>
        <family val="2"/>
      </rPr>
      <t>,</t>
    </r>
    <r>
      <rPr>
        <sz val="7"/>
        <color indexed="8"/>
        <rFont val="細明體"/>
        <family val="3"/>
      </rPr>
      <t>依科技部規定於計畫執行期間內繳交</t>
    </r>
    <r>
      <rPr>
        <sz val="7"/>
        <color indexed="8"/>
        <rFont val="Calibri"/>
        <family val="2"/>
      </rPr>
      <t>,</t>
    </r>
    <r>
      <rPr>
        <sz val="7"/>
        <color indexed="8"/>
        <rFont val="細明體"/>
        <family val="3"/>
      </rPr>
      <t>故報告未逾期</t>
    </r>
  </si>
  <si>
    <t>1. 計畫主題-Mechanistic basis of DNA rejoining in the cleavage complex of topoisomerase II。 2. 研究內容-與加州大學聖地牙哥分校Prof. Michael K. Gilson合作，進行第二型拓蹼酶之分子動力學模擬，以及相關計算生物學技術和力學分析於生醫領域之應用。</t>
  </si>
  <si>
    <r>
      <t xml:space="preserve">00028891
</t>
    </r>
    <r>
      <rPr>
        <sz val="10"/>
        <color indexed="8"/>
        <rFont val="細明體"/>
        <family val="3"/>
      </rPr>
      <t>西班牙簽證費費用</t>
    </r>
  </si>
  <si>
    <r>
      <rPr>
        <sz val="10"/>
        <color indexed="8"/>
        <rFont val="細明體"/>
        <family val="3"/>
      </rPr>
      <t>執行台德國際合作人員交流</t>
    </r>
    <r>
      <rPr>
        <sz val="10"/>
        <color indexed="8"/>
        <rFont val="Calibri"/>
        <family val="2"/>
      </rPr>
      <t>PPP</t>
    </r>
    <r>
      <rPr>
        <sz val="10"/>
        <color indexed="8"/>
        <rFont val="細明體"/>
        <family val="3"/>
      </rPr>
      <t>計畫</t>
    </r>
    <r>
      <rPr>
        <sz val="10"/>
        <color indexed="8"/>
        <rFont val="Calibri"/>
        <family val="2"/>
      </rPr>
      <t xml:space="preserve">, </t>
    </r>
    <r>
      <rPr>
        <sz val="10"/>
        <color indexed="8"/>
        <rFont val="細明體"/>
        <family val="3"/>
      </rPr>
      <t>至德國箂比錫</t>
    </r>
    <r>
      <rPr>
        <sz val="10"/>
        <color indexed="8"/>
        <rFont val="Calibri"/>
        <family val="2"/>
      </rPr>
      <t xml:space="preserve">IOM Leipzig </t>
    </r>
    <r>
      <rPr>
        <sz val="10"/>
        <color indexed="8"/>
        <rFont val="細明體"/>
        <family val="3"/>
      </rPr>
      <t>進行學術交流</t>
    </r>
  </si>
  <si>
    <t>在二維晶體應用到石墨烯的低能量激發</t>
  </si>
  <si>
    <t>赴俄羅斯Center for Semiconductor Microelectronics of the Institute for Automation and Control Processes(IACP)及俄羅斯科學院遠東分院(FEB RAS)進行學術交流</t>
  </si>
  <si>
    <t>受西班牙Donostia International Physics Center (DIPC)的主任Prof. Ricardo Diez Muino邀請前往做學術交流。</t>
  </si>
  <si>
    <t>5/25-6/5赴俄羅斯IACP及FEB RAS進行學術交流，並討論台俄合作計畫。</t>
  </si>
  <si>
    <t>計畫前往大阪大學先進光子學研究中心副主任民谷荣一教授實驗室進行為期80天(十月三日至十二月二十一日)的移地研究，期間將針對整合基因增幅微流道晶片與奈米電漿子感測晶片於抗生素抗藥性微生物定點照護檢測之研究議題進行合作。</t>
  </si>
  <si>
    <t>6月6日至7月5日(共30日)至西班牙聖賽巴斯提安國際物理中心(DIPC)進行學術交流。</t>
  </si>
  <si>
    <t>張亞中特聘研究員申請2015年「台法科技獎」乙案，獲臺法雙方委員推薦得獎。補助編號:104-2911-I-001-529。於11月24日及11月25日赴法蘭西學院自然科學院受頒發臺法科技獎。</t>
  </si>
  <si>
    <r>
      <rPr>
        <sz val="8"/>
        <color indexed="8"/>
        <rFont val="細明體"/>
        <family val="3"/>
      </rPr>
      <t>於</t>
    </r>
    <r>
      <rPr>
        <sz val="8"/>
        <color indexed="8"/>
        <rFont val="Calibri"/>
        <family val="2"/>
      </rPr>
      <t>104</t>
    </r>
    <r>
      <rPr>
        <sz val="8"/>
        <color indexed="8"/>
        <rFont val="細明體"/>
        <family val="3"/>
      </rPr>
      <t>年</t>
    </r>
    <r>
      <rPr>
        <sz val="8"/>
        <color indexed="8"/>
        <rFont val="Calibri"/>
        <family val="2"/>
      </rPr>
      <t>7</t>
    </r>
    <r>
      <rPr>
        <sz val="8"/>
        <color indexed="8"/>
        <rFont val="細明體"/>
        <family val="3"/>
      </rPr>
      <t>月</t>
    </r>
    <r>
      <rPr>
        <sz val="8"/>
        <color indexed="8"/>
        <rFont val="Calibri"/>
        <family val="2"/>
      </rPr>
      <t>02</t>
    </r>
    <r>
      <rPr>
        <sz val="8"/>
        <color indexed="8"/>
        <rFont val="細明體"/>
        <family val="3"/>
      </rPr>
      <t>至</t>
    </r>
    <r>
      <rPr>
        <sz val="8"/>
        <color indexed="8"/>
        <rFont val="Calibri"/>
        <family val="2"/>
      </rPr>
      <t>104</t>
    </r>
    <r>
      <rPr>
        <sz val="8"/>
        <color indexed="8"/>
        <rFont val="細明體"/>
        <family val="3"/>
      </rPr>
      <t>年</t>
    </r>
    <r>
      <rPr>
        <sz val="8"/>
        <color indexed="8"/>
        <rFont val="Calibri"/>
        <family val="2"/>
      </rPr>
      <t>7</t>
    </r>
    <r>
      <rPr>
        <sz val="8"/>
        <color indexed="8"/>
        <rFont val="細明體"/>
        <family val="3"/>
      </rPr>
      <t>月</t>
    </r>
    <r>
      <rPr>
        <sz val="8"/>
        <color indexed="8"/>
        <rFont val="Calibri"/>
        <family val="2"/>
      </rPr>
      <t>30</t>
    </r>
    <r>
      <rPr>
        <sz val="8"/>
        <color indexed="8"/>
        <rFont val="細明體"/>
        <family val="3"/>
      </rPr>
      <t>日至德國馬克斯普朗克協會高分子研究所學習更有效率的計算方法以研究太陽能電池材料之大面積電子</t>
    </r>
    <r>
      <rPr>
        <sz val="8"/>
        <color indexed="8"/>
        <rFont val="Calibri"/>
        <family val="2"/>
      </rPr>
      <t>/</t>
    </r>
    <r>
      <rPr>
        <sz val="8"/>
        <color indexed="8"/>
        <rFont val="細明體"/>
        <family val="3"/>
      </rPr>
      <t>電洞傳輸性質</t>
    </r>
  </si>
  <si>
    <r>
      <t xml:space="preserve">00030560
</t>
    </r>
    <r>
      <rPr>
        <sz val="7"/>
        <color indexed="8"/>
        <rFont val="細明體"/>
        <family val="3"/>
      </rPr>
      <t>未結案</t>
    </r>
    <r>
      <rPr>
        <sz val="7"/>
        <color indexed="8"/>
        <rFont val="Calibri"/>
        <family val="2"/>
      </rPr>
      <t>,</t>
    </r>
    <r>
      <rPr>
        <sz val="7"/>
        <color indexed="8"/>
        <rFont val="細明體"/>
        <family val="3"/>
      </rPr>
      <t>依科技部規定於計畫執行期間內繳交</t>
    </r>
    <r>
      <rPr>
        <sz val="7"/>
        <color indexed="8"/>
        <rFont val="Calibri"/>
        <family val="2"/>
      </rPr>
      <t>,</t>
    </r>
    <r>
      <rPr>
        <sz val="7"/>
        <color indexed="8"/>
        <rFont val="細明體"/>
        <family val="3"/>
      </rPr>
      <t>故報告未逾期</t>
    </r>
  </si>
  <si>
    <r>
      <t xml:space="preserve">00028386
</t>
    </r>
    <r>
      <rPr>
        <sz val="6"/>
        <color indexed="8"/>
        <rFont val="細明體"/>
        <family val="3"/>
      </rPr>
      <t>此經費依據核定清單，補助機票費及在法國巴黎訪問的部分</t>
    </r>
    <r>
      <rPr>
        <sz val="6"/>
        <color indexed="8"/>
        <rFont val="Calibri"/>
        <family val="2"/>
      </rPr>
      <t>5</t>
    </r>
    <r>
      <rPr>
        <sz val="6"/>
        <color indexed="8"/>
        <rFont val="細明體"/>
        <family val="3"/>
      </rPr>
      <t>日生活費</t>
    </r>
    <r>
      <rPr>
        <sz val="6"/>
        <color indexed="8"/>
        <rFont val="Calibri"/>
        <family val="2"/>
      </rPr>
      <t>(</t>
    </r>
    <r>
      <rPr>
        <sz val="6"/>
        <color indexed="8"/>
        <rFont val="細明體"/>
        <family val="3"/>
      </rPr>
      <t>台幣</t>
    </r>
    <r>
      <rPr>
        <sz val="6"/>
        <color indexed="8"/>
        <rFont val="Calibri"/>
        <family val="2"/>
      </rPr>
      <t>49787</t>
    </r>
    <r>
      <rPr>
        <sz val="6"/>
        <color indexed="8"/>
        <rFont val="細明體"/>
        <family val="3"/>
      </rPr>
      <t>元</t>
    </r>
    <r>
      <rPr>
        <sz val="6"/>
        <color indexed="8"/>
        <rFont val="Calibri"/>
        <family val="2"/>
      </rPr>
      <t>)</t>
    </r>
  </si>
  <si>
    <t>00032968</t>
  </si>
  <si>
    <t>價值交換與優先定序：比例原則和成本效益分析的統合與對比_MOST 104-2410-H-001-030</t>
  </si>
  <si>
    <t>赴美國紐約州立大學水牛城分校演講，及至康乃狄克州紐哈芬市耶魯大學參加2016 Conference on Comparative Administrative Law並發表文章</t>
  </si>
  <si>
    <t>105/04/26-105/05/02</t>
  </si>
  <si>
    <t>紐哈芬(NewHaven, Connecticut) 水牛城(Buffalo)</t>
  </si>
  <si>
    <t>超越「代議委任的分裂」﹕ 關於台灣國會混合選制下之政治代表的規範理論重建_MOST 103-2410-H-001-024-MY2</t>
  </si>
  <si>
    <t>至2016SPSA年會發表有關我國司法政治研究之論文，並參與數場次的會議</t>
  </si>
  <si>
    <t>105/01/05-105/01/11</t>
  </si>
  <si>
    <t>美屬波多黎各(U.S. Puerto Rico) 紐約市(New York,New York)</t>
  </si>
  <si>
    <t>赴日本神戶參加2016年倫理、宗教與哲學之亞洲學術研討會並發表論文</t>
  </si>
  <si>
    <t>105/03/29-105/04/04</t>
  </si>
  <si>
    <t>論標準必要專利之規範_MOST 105-2410-H-001-028</t>
  </si>
  <si>
    <t>赴印度新德里參加Workshop on innovation and economic development in Asia學術會議並發表論文</t>
  </si>
  <si>
    <t>經濟合作暨發展組織(OECD)關於租稅協定濫用問題之研究與台灣實務_MOST 104-2410-H-001-031</t>
  </si>
  <si>
    <r>
      <rPr>
        <sz val="10"/>
        <color indexed="8"/>
        <rFont val="細明體"/>
        <family val="3"/>
      </rPr>
      <t>赴馬來西亞吉隆坡參加由馬來西亞國際財政協會所舉辦之國際學術研討會並發表論文</t>
    </r>
  </si>
  <si>
    <t>105/11/24-105/11/26</t>
  </si>
  <si>
    <t>赴美國劍橋擔任美國法經濟學會年會主持人以及與外國學者Henry Smith、 Kathy Zeiler、 William Hubbard等論文共同作者討論論文</t>
  </si>
  <si>
    <t>105/05/17-105/05/23</t>
  </si>
  <si>
    <t>劍橋(Cambridge,Massachusetts)</t>
  </si>
  <si>
    <r>
      <rPr>
        <sz val="10"/>
        <color indexed="8"/>
        <rFont val="細明體"/>
        <family val="3"/>
      </rPr>
      <t>赴義大利波隆納參加</t>
    </r>
    <r>
      <rPr>
        <sz val="10"/>
        <color indexed="8"/>
        <rFont val="Calibri"/>
        <family val="2"/>
      </rPr>
      <t>2016</t>
    </r>
    <r>
      <rPr>
        <sz val="10"/>
        <color indexed="8"/>
        <rFont val="細明體"/>
        <family val="3"/>
      </rPr>
      <t>歐洲法經濟學會年會</t>
    </r>
    <r>
      <rPr>
        <sz val="10"/>
        <color indexed="8"/>
        <rFont val="Calibri"/>
        <family val="2"/>
      </rPr>
      <t>(EALE)</t>
    </r>
    <r>
      <rPr>
        <sz val="10"/>
        <color indexed="8"/>
        <rFont val="細明體"/>
        <family val="3"/>
      </rPr>
      <t>並進行報告</t>
    </r>
  </si>
  <si>
    <t>105/09/10-105/09/19</t>
  </si>
  <si>
    <t>Bologna</t>
  </si>
  <si>
    <t>科技部105-2914-I-001-018-A1計畫</t>
  </si>
  <si>
    <t>赴美國波士頓參加Patent Conference 6並發表論文</t>
  </si>
  <si>
    <t>105/04/04-105/04/13</t>
  </si>
  <si>
    <t>波士頓(Boston,Massachuseetts) 舊金山(San Francisco,California)</t>
  </si>
  <si>
    <t>科技部105-2914-I-001-014-A1計畫</t>
  </si>
  <si>
    <t>前往美國耶魯大學參加學術研討會並發表論文</t>
  </si>
  <si>
    <t>105/04/13-105/04/19</t>
  </si>
  <si>
    <t>紐哈芬(NewHaven, Connecticut)</t>
  </si>
  <si>
    <t>105/01/10-105/03/07</t>
  </si>
  <si>
    <t>Iowa City 芝加哥(Chicago,Illinois) 愛荷華Iowa City 紐約市(New York,New York)</t>
  </si>
  <si>
    <t>參加紐約大學法學院Law and Economics Colloquium會議等。</t>
  </si>
  <si>
    <r>
      <rPr>
        <sz val="10"/>
        <color indexed="8"/>
        <rFont val="細明體"/>
        <family val="3"/>
      </rPr>
      <t>於</t>
    </r>
    <r>
      <rPr>
        <sz val="10"/>
        <color indexed="8"/>
        <rFont val="Calibri"/>
        <family val="2"/>
      </rPr>
      <t>105</t>
    </r>
    <r>
      <rPr>
        <sz val="10"/>
        <color indexed="8"/>
        <rFont val="細明體"/>
        <family val="3"/>
      </rPr>
      <t>年</t>
    </r>
    <r>
      <rPr>
        <sz val="10"/>
        <color indexed="8"/>
        <rFont val="Calibri"/>
        <family val="2"/>
      </rPr>
      <t>2</t>
    </r>
    <r>
      <rPr>
        <sz val="10"/>
        <color indexed="8"/>
        <rFont val="細明體"/>
        <family val="3"/>
      </rPr>
      <t>月</t>
    </r>
    <r>
      <rPr>
        <sz val="10"/>
        <color indexed="8"/>
        <rFont val="Calibri"/>
        <family val="2"/>
      </rPr>
      <t>5</t>
    </r>
    <r>
      <rPr>
        <sz val="10"/>
        <color indexed="8"/>
        <rFont val="細明體"/>
        <family val="3"/>
      </rPr>
      <t>日至</t>
    </r>
    <r>
      <rPr>
        <sz val="10"/>
        <color indexed="8"/>
        <rFont val="Calibri"/>
        <family val="2"/>
      </rPr>
      <t>2</t>
    </r>
    <r>
      <rPr>
        <sz val="10"/>
        <color indexed="8"/>
        <rFont val="細明體"/>
        <family val="3"/>
      </rPr>
      <t>月</t>
    </r>
    <r>
      <rPr>
        <sz val="10"/>
        <color indexed="8"/>
        <rFont val="Calibri"/>
        <family val="2"/>
      </rPr>
      <t>10</t>
    </r>
    <r>
      <rPr>
        <sz val="10"/>
        <color indexed="8"/>
        <rFont val="細明體"/>
        <family val="3"/>
      </rPr>
      <t>日參加紐約大學法學院</t>
    </r>
    <r>
      <rPr>
        <sz val="10"/>
        <color indexed="8"/>
        <rFont val="Calibri"/>
        <family val="2"/>
      </rPr>
      <t>Law and Economics Colloquium</t>
    </r>
    <r>
      <rPr>
        <sz val="10"/>
        <color indexed="8"/>
        <rFont val="細明體"/>
        <family val="3"/>
      </rPr>
      <t>會議並進行報告等</t>
    </r>
  </si>
  <si>
    <t>105/01/10-105/03/07</t>
  </si>
  <si>
    <t>Iowa City 芝加哥(Chicago,Illinois) 愛荷華Iowa City 紐約市(New York,New York)</t>
  </si>
  <si>
    <t>於愛荷華大學（University of Iowa）法學院Faculty Workshop發表演講。</t>
  </si>
  <si>
    <t>於105年1月25日在愛荷華大學法學院Faculty Workshop發表演講</t>
  </si>
  <si>
    <t>赴美國芝加哥進修。</t>
  </si>
  <si>
    <t>於105年1月10日起至3月7日止，前往美國芝加哥大學研究進修</t>
  </si>
  <si>
    <t>參加Ghislain Otis教授主辦之暑期講座與訪談，同時蒐集法語系及市民法傳統下有關法律多元主義與原住民族權利理論及實務現況相關資訊</t>
  </si>
  <si>
    <t>赴匈牙利布達佩斯羅蘭大學進行研究交流及發表演講，並於瑞典斯德哥爾摩大學、波蘭華沙大學、波蘭憲法法院、波蘭弗羅茨瓦夫大學及德國法蘭克福大學進行研究交流</t>
  </si>
  <si>
    <r>
      <rPr>
        <sz val="8"/>
        <color indexed="8"/>
        <rFont val="細明體"/>
        <family val="3"/>
      </rPr>
      <t>至奧地利維也納</t>
    </r>
    <r>
      <rPr>
        <sz val="8"/>
        <color indexed="8"/>
        <rFont val="Calibri"/>
        <family val="2"/>
      </rPr>
      <t>Hans Kelsen Institut</t>
    </r>
    <r>
      <rPr>
        <sz val="8"/>
        <color indexed="8"/>
        <rFont val="細明體"/>
        <family val="3"/>
      </rPr>
      <t>與維也納大學法學院，蒐集與本研究計畫的核心議題－「憲法學實質化」，有密切關連的</t>
    </r>
    <r>
      <rPr>
        <sz val="8"/>
        <color indexed="8"/>
        <rFont val="Calibri"/>
        <family val="2"/>
      </rPr>
      <t>Kelsen</t>
    </r>
    <r>
      <rPr>
        <sz val="8"/>
        <color indexed="8"/>
        <rFont val="細明體"/>
        <family val="3"/>
      </rPr>
      <t>純粹法學暨維也納學派相關一手資料</t>
    </r>
  </si>
  <si>
    <t>赴香港大學參加中國法中心午間會談並發表論文</t>
  </si>
  <si>
    <t>參加首屆中國法社會學年會並發表論文</t>
  </si>
  <si>
    <t>00027384</t>
  </si>
  <si>
    <t>00029459</t>
  </si>
  <si>
    <t>00028712</t>
  </si>
  <si>
    <t>00027919</t>
  </si>
  <si>
    <t>00030217</t>
  </si>
  <si>
    <t>00029023</t>
  </si>
  <si>
    <t>00029739</t>
  </si>
  <si>
    <t>00031061</t>
  </si>
  <si>
    <t>00031373</t>
  </si>
  <si>
    <t>00032865</t>
  </si>
  <si>
    <t>00031563</t>
  </si>
  <si>
    <t>00028078</t>
  </si>
  <si>
    <t>00027466</t>
  </si>
  <si>
    <t>參加會議：International Conference on Internet of things and Cloud Computing (ICC 2016) 發表論文</t>
  </si>
  <si>
    <t>105/03/20-105/04/02</t>
  </si>
  <si>
    <t>無線通訊空間位移多天線系統傳輸接收機設計_MOST104-2221-E-001-008-MY3</t>
  </si>
  <si>
    <t>參加會議：IEEE Wireless Communications and Networking Conference (IEEE WCNC 2016) 發表論文</t>
  </si>
  <si>
    <t>參加會議：2016多媒體模型化國際會議(MMM) 發表論文</t>
  </si>
  <si>
    <t>105/01/03-105/01/09</t>
  </si>
  <si>
    <t>邁阿密(Miami,Florida)</t>
  </si>
  <si>
    <t>參加會議：2016人工智慧會議(AAAI) 發表論文</t>
  </si>
  <si>
    <t>105/02/13-105/02/19</t>
  </si>
  <si>
    <t>非監督式描述子融合技術之開發與其在影像匹配及影像對位上之應用_MOST104-2628-E-001-001-MY2</t>
  </si>
  <si>
    <t>會議名稱：IEEE Int’l Conf. on Computer Vision and Pattern Recognition 發表論文</t>
  </si>
  <si>
    <t>105/06/23-105/07/04</t>
  </si>
  <si>
    <t>參加會議：The 20th Pacific Asia Conference on Knowledge Discovery and Data Mining (PAKDD) 2016 發表論文</t>
  </si>
  <si>
    <t>105/04/14-105/04/23</t>
  </si>
  <si>
    <t>1.參加會議：AAAI International Conf. on Web and Social Media (ICWSM) 2016 2.參加會議：25th International Joint Conf. on Artificial Intelligence (IJCAI) 2016擔任workshop co-chair</t>
  </si>
  <si>
    <t>105/05/13-105/07/14</t>
  </si>
  <si>
    <t>科隆(Cologne) 盧森堡(Luxembourg) 紐約市(New York,New York)</t>
  </si>
  <si>
    <t>參加會議:IEEE International Conference on Communications (ICC) 發表論文</t>
  </si>
  <si>
    <t>105/05/22-105/05/27</t>
  </si>
  <si>
    <t>自動化音樂推薦及檢索:整 音樂、個人、以及情境因_NSC102-2221-E-001-004-MY3</t>
  </si>
  <si>
    <t>105/08/04-105/08/16</t>
  </si>
  <si>
    <t>頻寬密集型行動應用之可存取位置研究_MOST104-2628-E-001-003-MY3</t>
  </si>
  <si>
    <t>參加會議：IEEE/ACM DAC 2016 發表論文</t>
  </si>
  <si>
    <t>參加會議：IEEE International Conference on Communication 2016 發表論文</t>
  </si>
  <si>
    <t>105/05/22-105/05/28</t>
  </si>
  <si>
    <t>基於深度學習之食物影像分類_32T-1050413-1C</t>
  </si>
  <si>
    <t>1.出國訪問：應Investment Manager Mr. Josh Su邀請，至Intel訪問交流 2.參加會議：IEEE CVPR 2016，發表論文：Learning Cross-Domain Landmarks for Heterogeneous Domain Adaptation</t>
  </si>
  <si>
    <t>拉斯維加斯 聖他克拉拉(Santa Clara,California)</t>
  </si>
  <si>
    <t>參加會議：IEEE Computer Vision and Pattern Recognition 會議日期：自105年06月26日至105年07月01日 發表論文：Learning Cross-Domain Landmarks for Heterogeneous Domain Adaptation</t>
  </si>
  <si>
    <t>參加會議：IEEE ICME 2016 發表論文</t>
  </si>
  <si>
    <t>105/07/11-105/07/18</t>
  </si>
  <si>
    <t>路徑相關型金融商品評價與其引進之非線性及近似誤差分析_MOST105-2221-E-001-035</t>
  </si>
  <si>
    <t>參加會議：The 10th ACM Conference on Recommender Systems 發表論文</t>
  </si>
  <si>
    <t>105/09/07-105/09/21</t>
  </si>
  <si>
    <t>去識別化加密保護研究_105-000002</t>
  </si>
  <si>
    <t>會議名稱：UbiComp 2016 會議日期：自105年9月12日至105年9月16日 發表論文：Crowdsensing Route Reconstruction Using Protable Bluetooth Beacon-based Two-way Network</t>
  </si>
  <si>
    <t>105/09/12-105/09/16</t>
  </si>
  <si>
    <t>海德堡(Heidelberg)</t>
  </si>
  <si>
    <t>1.參加會議：GDPR Comprehensive 2016 2.出國訪問：德國達姆施塔特</t>
  </si>
  <si>
    <t>105/09/21-105/09/29</t>
  </si>
  <si>
    <t>倫敦(London) 達姆施塔特</t>
  </si>
  <si>
    <t>產學合作計畫-基於公開金鑰密碼系統簡單易用的身份認證技術之開發(1/2)_104-000008</t>
  </si>
  <si>
    <t>1.受邀前往荷蘭愛茵多芬理工大學(Technische Universiteit Eindhoven)參加歐盟地平線2020架構計畫之PQCRYPTO團隊工作會議, 並在會中交流討論計畫團隊研究進度及合作事宜。 2.受邀前往前往荷蘭烏特勒支(Utrecht, The Netherlands)參加PQCRYPTO學術研討會議, 並在會中發表論文。</t>
  </si>
  <si>
    <t>105/06/25-105/06/30</t>
  </si>
  <si>
    <t>恩荷芬(Eindhoven)</t>
  </si>
  <si>
    <t>從同質到異質領域適應:跨資料領域視覺辨識及其應用_MOST105-2221-E-001-028-MY2</t>
  </si>
  <si>
    <t>1.參加會議：IEEE MMSP 2016，自105年9月21日至105年9月23日，發表論文 2.訪問：Univ. Albany</t>
  </si>
  <si>
    <t>蒙特婁(Montreal) Albany</t>
  </si>
  <si>
    <t>亞信大數據(香港)有限公司委託研究計畫_32T-1050309-1Q</t>
  </si>
  <si>
    <t>生理訊號增強及處理合作研究計畫_32T-1041126-1Q</t>
  </si>
  <si>
    <t>出國訪問：Duke-NUS Graduate Medical School</t>
  </si>
  <si>
    <t>105/08/19-105/08/21</t>
  </si>
  <si>
    <t>參加會議：2016系統晶片設計國際研討會 (ISOCC 2016) 發表論文</t>
  </si>
  <si>
    <t>濟州(Cheju)</t>
  </si>
  <si>
    <t>參加會議：軟體加解密基準評量性能強化國際研討會</t>
  </si>
  <si>
    <t>105/10/18-105/10/22</t>
  </si>
  <si>
    <t>Utrecht</t>
  </si>
  <si>
    <t>臺歐盟國合計畫-永續可用的後量子密碼學_MOST105-2923-E-001-003-MY3</t>
  </si>
  <si>
    <t>1.參加會議：GDPR Comprehensive 2016，會議日期：9月22日至年9月23日 2.出國訪問：德國達姆施塔特工業大學，日期：9月26日至年9月27日</t>
  </si>
  <si>
    <t>105/09/21-105/09/28</t>
  </si>
  <si>
    <t>參加會議：The 2016 IEEE/WIC/ACM International Conference on Web Intelligence (WI 2016) 發表論文</t>
  </si>
  <si>
    <t>105/10/12-105/10/27</t>
  </si>
  <si>
    <t>奧馬哈</t>
  </si>
  <si>
    <t>多媒體巨量資料的社群語意探索及其應用_MOST105-2628-E-001-003-MY3</t>
  </si>
  <si>
    <t>參加會議：2016 IEEE Vehicular Networking Conference (VNC) 發表論文</t>
  </si>
  <si>
    <t>105/12/07-105/12/12</t>
  </si>
  <si>
    <t>哥倫布</t>
  </si>
  <si>
    <t>從聲景資訊分析自然環境、野生動物與人為活動之交互作用_MOST105-2321-B-001-069-MY3</t>
  </si>
  <si>
    <t>參加會議：5th Joint Meeting Acoustical Society of America and Acoustical Society of Japan 發表論文</t>
  </si>
  <si>
    <t>105/11/27-105/12/10</t>
  </si>
  <si>
    <t>執行國際合作與移地研究：楊柏因研究員研究團隊與PQCRYPTO團隊共同合作研究並執行歐盟地平線2020架構計畫(Horizon 2020, the European Union Framework Project)，外國合作計畫主持人Prof. Tanja Lange邀請中研院研究團隊參加計畫進度檢討會議報告目前研究進度及討論未來研究規劃。</t>
  </si>
  <si>
    <t>105/11/20-105/11/23</t>
  </si>
  <si>
    <t>Leuven</t>
  </si>
  <si>
    <t>參加會議：Open Government Partnership Global Summit 2016 (OGP16)</t>
  </si>
  <si>
    <t>105/12/04-105/12/11</t>
  </si>
  <si>
    <t>整體深層學習於語音訊號處理及語音辨識_MOST104-2221-E-001-026-MY2</t>
  </si>
  <si>
    <t>參加會議：Asia-Pacific Signal and Information Processing Association - Annual Summit and Conference (APSIPA ASC) 2016 發表論文</t>
  </si>
  <si>
    <t>參加會議：PQCRYPTO團隊工作會議暨研討會</t>
  </si>
  <si>
    <t>105/09/20-105/09/24</t>
  </si>
  <si>
    <t>新世代資通安全技術與檢測服務之研發(1/4)_MOST104-2218-E-001-002</t>
  </si>
  <si>
    <t>參加會議：27th Annual IEEE International Symposium on Personal, Indoor and Mobile Radio Communications 發表論文：Dynamic Multi-factor Authentication for Smartphone</t>
  </si>
  <si>
    <t>105/09/02-105/09/09</t>
  </si>
  <si>
    <t>瓦倫西亞(Valencia)</t>
  </si>
  <si>
    <t>105/11/21-105/11/24</t>
  </si>
  <si>
    <t>產學合作計畫-藍芽Beacon定位的創新應用服務及管理系統之設計與實作_104-000007</t>
  </si>
  <si>
    <t>1.參加會議：ICACSIS 2016，會議日期：自105年10月15日至105年10月16日 2.參加會議：IWBIS 2016，會議日期：自105年10月18日至105年10月19日</t>
  </si>
  <si>
    <t>105/10/14-105/10/20</t>
  </si>
  <si>
    <t>雅加達(Jakarta) Malang</t>
  </si>
  <si>
    <t>105-2914-I-001-047-A1</t>
  </si>
  <si>
    <t>參加會議：The International Conference on Hardware/Software Codesign and System Synthesis(CODES+ISSS) 發表論文</t>
  </si>
  <si>
    <t>105/09/28-105/10/08</t>
  </si>
  <si>
    <t>匹茲堡</t>
  </si>
  <si>
    <t>105-2914-I-001-013-A1</t>
  </si>
  <si>
    <t>參加會議：The 25th World Wide Web Conference (WWW 2016) 發表論文：Mining Online Social Data for Detecting Social Network Mental Disorders</t>
  </si>
  <si>
    <t>105/04/10-105/04/18</t>
  </si>
  <si>
    <t>蒙特婁(Montreal)</t>
  </si>
  <si>
    <t>105-2914-I-001-007-A1</t>
  </si>
  <si>
    <t>參加會議：MEDICON 2016 會議日期：自105年3月31日至105年4月2日 發表論文：Improving the performance of noise reduction in hearing aids based on the genetic algorithm</t>
  </si>
  <si>
    <t>105/03/28-105/04/03</t>
  </si>
  <si>
    <t>帕福斯</t>
  </si>
  <si>
    <r>
      <t xml:space="preserve">00027915
</t>
    </r>
    <r>
      <rPr>
        <sz val="8.5"/>
        <color indexed="8"/>
        <rFont val="細明體"/>
        <family val="3"/>
      </rPr>
      <t>補助單位未要求繳交出國報告</t>
    </r>
  </si>
  <si>
    <r>
      <t xml:space="preserve">00027893
</t>
    </r>
    <r>
      <rPr>
        <sz val="8.5"/>
        <color indexed="8"/>
        <rFont val="細明體"/>
        <family val="3"/>
      </rPr>
      <t>計畫未結案併期末報告一併繳交</t>
    </r>
  </si>
  <si>
    <r>
      <t xml:space="preserve">00026603
</t>
    </r>
    <r>
      <rPr>
        <sz val="8.5"/>
        <color indexed="8"/>
        <rFont val="細明體"/>
        <family val="3"/>
      </rPr>
      <t>出國報告併期末報告一併繳交</t>
    </r>
  </si>
  <si>
    <r>
      <t xml:space="preserve">00027989
</t>
    </r>
    <r>
      <rPr>
        <sz val="8.5"/>
        <color indexed="8"/>
        <rFont val="細明體"/>
        <family val="3"/>
      </rPr>
      <t>計畫未結案併期末報告一併繳交</t>
    </r>
  </si>
  <si>
    <r>
      <t xml:space="preserve">00028696
</t>
    </r>
    <r>
      <rPr>
        <sz val="8.5"/>
        <color indexed="8"/>
        <rFont val="細明體"/>
        <family val="3"/>
      </rPr>
      <t>計畫未結案併期末報告一併繳交</t>
    </r>
  </si>
  <si>
    <r>
      <t xml:space="preserve">00029789
</t>
    </r>
    <r>
      <rPr>
        <sz val="8.5"/>
        <color indexed="8"/>
        <rFont val="細明體"/>
        <family val="3"/>
      </rPr>
      <t>出國報告併期末報告一併繳交</t>
    </r>
  </si>
  <si>
    <r>
      <t xml:space="preserve">00030168
</t>
    </r>
    <r>
      <rPr>
        <sz val="8.5"/>
        <color indexed="8"/>
        <rFont val="細明體"/>
        <family val="3"/>
      </rPr>
      <t>補助單位未要求繳交出國報告</t>
    </r>
  </si>
  <si>
    <r>
      <t xml:space="preserve">00031336
</t>
    </r>
    <r>
      <rPr>
        <sz val="8.5"/>
        <color indexed="8"/>
        <rFont val="細明體"/>
        <family val="3"/>
      </rPr>
      <t>補助單位未要求繳交出國報告</t>
    </r>
  </si>
  <si>
    <r>
      <t xml:space="preserve">00031364
</t>
    </r>
    <r>
      <rPr>
        <sz val="8.5"/>
        <color indexed="8"/>
        <rFont val="細明體"/>
        <family val="3"/>
      </rPr>
      <t>補助單位未要求繳交出國報告</t>
    </r>
  </si>
  <si>
    <r>
      <t xml:space="preserve">00029752
</t>
    </r>
    <r>
      <rPr>
        <sz val="8.5"/>
        <color indexed="8"/>
        <rFont val="細明體"/>
        <family val="3"/>
      </rPr>
      <t>補助單位未要求繳交出國報告</t>
    </r>
  </si>
  <si>
    <r>
      <t xml:space="preserve">00030168
</t>
    </r>
    <r>
      <rPr>
        <sz val="8.5"/>
        <color indexed="8"/>
        <rFont val="細明體"/>
        <family val="3"/>
      </rPr>
      <t>出國報告併期末報告一併繳交</t>
    </r>
  </si>
  <si>
    <r>
      <t xml:space="preserve">00030829
</t>
    </r>
    <r>
      <rPr>
        <sz val="8.5"/>
        <color indexed="8"/>
        <rFont val="細明體"/>
        <family val="3"/>
      </rPr>
      <t>補助單位未要求繳交出國報告</t>
    </r>
  </si>
  <si>
    <r>
      <t xml:space="preserve">00032092
</t>
    </r>
    <r>
      <rPr>
        <sz val="8.5"/>
        <color indexed="8"/>
        <rFont val="細明體"/>
        <family val="3"/>
      </rPr>
      <t>補助單位未要求繳交出國報告</t>
    </r>
  </si>
  <si>
    <r>
      <t xml:space="preserve">00032084
</t>
    </r>
    <r>
      <rPr>
        <sz val="8.5"/>
        <color indexed="8"/>
        <rFont val="細明體"/>
        <family val="3"/>
      </rPr>
      <t>計畫未結案併期末報告一併繳交</t>
    </r>
  </si>
  <si>
    <r>
      <t xml:space="preserve">00031435
</t>
    </r>
    <r>
      <rPr>
        <sz val="8.5"/>
        <color indexed="8"/>
        <rFont val="細明體"/>
        <family val="3"/>
      </rPr>
      <t>補助單位未要求繳交出國報告</t>
    </r>
  </si>
  <si>
    <r>
      <t xml:space="preserve">00031793
</t>
    </r>
    <r>
      <rPr>
        <sz val="8.5"/>
        <color indexed="8"/>
        <rFont val="細明體"/>
        <family val="3"/>
      </rPr>
      <t>補助單位未要求繳交出國報告</t>
    </r>
  </si>
  <si>
    <r>
      <t xml:space="preserve">00032830
</t>
    </r>
    <r>
      <rPr>
        <sz val="8.5"/>
        <color indexed="8"/>
        <rFont val="細明體"/>
        <family val="3"/>
      </rPr>
      <t>計畫未結案併期末報告一併繳交</t>
    </r>
  </si>
  <si>
    <r>
      <t xml:space="preserve">00031575
</t>
    </r>
    <r>
      <rPr>
        <sz val="8.5"/>
        <color indexed="8"/>
        <rFont val="細明體"/>
        <family val="3"/>
      </rPr>
      <t>計畫未結案併期末報告一併繳交</t>
    </r>
  </si>
  <si>
    <r>
      <t xml:space="preserve">00032618
</t>
    </r>
    <r>
      <rPr>
        <sz val="8.5"/>
        <color indexed="8"/>
        <rFont val="細明體"/>
        <family val="3"/>
      </rPr>
      <t>計畫未結案併期末報告一併繳交</t>
    </r>
  </si>
  <si>
    <r>
      <t xml:space="preserve">00032789
</t>
    </r>
    <r>
      <rPr>
        <sz val="8.5"/>
        <color indexed="8"/>
        <rFont val="細明體"/>
        <family val="3"/>
      </rPr>
      <t>計畫未結案併期末報告一併繳交</t>
    </r>
  </si>
  <si>
    <r>
      <t xml:space="preserve">00031483
</t>
    </r>
    <r>
      <rPr>
        <sz val="8.5"/>
        <color indexed="8"/>
        <rFont val="細明體"/>
        <family val="3"/>
      </rPr>
      <t>補助單位未要求繳交出國報告</t>
    </r>
  </si>
  <si>
    <r>
      <t xml:space="preserve">00031027
</t>
    </r>
    <r>
      <rPr>
        <sz val="8.5"/>
        <color indexed="8"/>
        <rFont val="細明體"/>
        <family val="3"/>
      </rPr>
      <t>計畫未結案併期末報告一併繳交</t>
    </r>
  </si>
  <si>
    <r>
      <t xml:space="preserve">00032620
</t>
    </r>
    <r>
      <rPr>
        <sz val="8.5"/>
        <color indexed="8"/>
        <rFont val="細明體"/>
        <family val="3"/>
      </rPr>
      <t>計畫未結案併期末報告一併繳交</t>
    </r>
  </si>
  <si>
    <r>
      <t xml:space="preserve">00031905
</t>
    </r>
    <r>
      <rPr>
        <sz val="8.5"/>
        <color indexed="8"/>
        <rFont val="細明體"/>
        <family val="3"/>
      </rPr>
      <t>補助單位未要求繳交出國報告</t>
    </r>
  </si>
  <si>
    <t>計畫結餘款再運用-鄭文皇老師</t>
  </si>
  <si>
    <t>計畫結餘款再運用-郭大維老師</t>
  </si>
  <si>
    <t>義大利(Italy) 德國(Germany) 奧地利(Austria)</t>
  </si>
  <si>
    <t>105/10/15-105/10/22</t>
  </si>
  <si>
    <t>荷蘭(Netherlands) 中國大陸(China)</t>
  </si>
  <si>
    <t>阿姆斯特丹(Amsterdam) 烏特勒支 香港(Hong Kong)</t>
  </si>
  <si>
    <t>計畫結餘款再運用-李佳翰老師</t>
  </si>
  <si>
    <t>參加會議：IEEE ICC 會議日期：自105年5月23日至105年5月27日 發表論文：On the Optimization of User-Centric Energy-Efficient C-RAN</t>
  </si>
  <si>
    <t>105/05/23-105/05/27</t>
  </si>
  <si>
    <t>00028584</t>
  </si>
  <si>
    <t>參加會議：IEEE International Conference on Communications 會議日期：自2016年5月23日至2016年5月27日 發表論文：On the optimization of user-centric energy-efficient C-RAN</t>
  </si>
  <si>
    <t>00028563</t>
  </si>
  <si>
    <t>計畫結餘款再運用-鄭文皇老師</t>
  </si>
  <si>
    <t>00027384</t>
  </si>
  <si>
    <t>計畫結餘款再運用-郭大維老師</t>
  </si>
  <si>
    <t>參加會議：ACM EditorinChief Meeting 會議日期：自105年1月13日至105年1月14日 經費來源：計畫結餘款</t>
  </si>
  <si>
    <t>105/01/12-105/01/18</t>
  </si>
  <si>
    <t>00027017</t>
  </si>
  <si>
    <t>1.參加會議：ACM/IEEE DAC，發表論文：A Semantics-Aware Design for Mounting Remote Sensors on Mobile Systems 2.參加ACM Award Banquet(6/11) 3.參加會議：ACM LCTES</t>
  </si>
  <si>
    <t>105/06/05-105/06/15</t>
  </si>
  <si>
    <t>奧斯丁(Austin, Texas) 舊金山(San Francisco,California) Santa Barbara</t>
  </si>
  <si>
    <t>00029088</t>
  </si>
  <si>
    <t>1.參加會議：ACM SAC(義大利比薩),4月4日至4月8日。 2.訪問：德國慕尼黑工業大學，4月9日至4月10日。 3.參加會議：ACM/IEEE CPSWEEK(維也納)，4月11日至4月14日。</t>
  </si>
  <si>
    <t>105/04/04-105/04/14</t>
  </si>
  <si>
    <t>Pisa 慕尼黑(Munich) 維也納(Vienna)</t>
  </si>
  <si>
    <t>00027901</t>
  </si>
  <si>
    <t>參加會議：IEEE International Symposium on Information Theory (ISIT) 發表論文</t>
  </si>
  <si>
    <t>105/07/08-105/07/18</t>
  </si>
  <si>
    <t>00029773</t>
  </si>
  <si>
    <t>00031373</t>
  </si>
  <si>
    <t>1.參訪美國南加州大學Media Communications實驗室。 2.參加2016 IEEE多媒體暨展示(ICME)會議並發表論文。</t>
  </si>
  <si>
    <t>105/07/10-105/07/17</t>
  </si>
  <si>
    <t>西雅圖(Seattle,Washington) 洛杉磯(Los Angeles,California)</t>
  </si>
  <si>
    <t>00029395</t>
  </si>
  <si>
    <t>1.參訪荷蘭烏特勒支大學資訊與計算科學系 2.參加會議：2016 ACM多媒體國際會議(MM),發表論文</t>
  </si>
  <si>
    <t>105/10/15-105/10/22</t>
  </si>
  <si>
    <t>阿姆斯特丹(Amsterdam) 烏特勒支 香港(Hong Kong)</t>
  </si>
  <si>
    <t>00031529</t>
  </si>
  <si>
    <t>00032857</t>
  </si>
  <si>
    <t>00031527</t>
  </si>
  <si>
    <t>參訪韓國科學技術院(KAIST)，邀請人：Yong Man Ro教授</t>
  </si>
  <si>
    <t>出國訪問：美國哥倫比亞大學電機工程系</t>
  </si>
  <si>
    <t>105/06/08-105/06/12</t>
  </si>
  <si>
    <t>00029061</t>
  </si>
  <si>
    <t>至美國加州大學聖地牙哥分校訪問，邀請人Dr. Alan Maisel</t>
  </si>
  <si>
    <t>出國訪問：德國達姆施塔特工業大學（Prof. Neeraj Suri）</t>
  </si>
  <si>
    <t>至日本橫濱中央水産研究所進行研究交流</t>
  </si>
  <si>
    <t>至日本National Institute of Information and Communications Technology(NICT)訪問，邀請人：Dr. Xugang Lu</t>
  </si>
  <si>
    <t>受邀至大阪大學進行後量子密碼學相關研究與實作技術演講，並訪問宮地充子教授(研究領域為資訊安全、數論演算法、密碼學，其研究曾獲文部科學大臣表彰科學技術獎（研究部門）)與其研究群商討資訊安全合作研究事宜</t>
  </si>
  <si>
    <r>
      <t xml:space="preserve">00029964
</t>
    </r>
    <r>
      <rPr>
        <sz val="8.5"/>
        <color indexed="8"/>
        <rFont val="細明體"/>
        <family val="3"/>
      </rPr>
      <t>補助單位未要求繳交出國報告</t>
    </r>
  </si>
  <si>
    <r>
      <t xml:space="preserve">00028838
</t>
    </r>
    <r>
      <rPr>
        <sz val="8.5"/>
        <color indexed="8"/>
        <rFont val="細明體"/>
        <family val="3"/>
      </rPr>
      <t>補助單位未要求繳交出國報告</t>
    </r>
  </si>
  <si>
    <r>
      <t xml:space="preserve">00031265
</t>
    </r>
    <r>
      <rPr>
        <sz val="8.5"/>
        <color indexed="8"/>
        <rFont val="細明體"/>
        <family val="3"/>
      </rPr>
      <t>計畫未結案併期末報告一併繳交</t>
    </r>
  </si>
  <si>
    <r>
      <t xml:space="preserve">00033158
</t>
    </r>
    <r>
      <rPr>
        <sz val="8.5"/>
        <color indexed="8"/>
        <rFont val="細明體"/>
        <family val="3"/>
      </rPr>
      <t>補助單位未要求繳交出國報告</t>
    </r>
  </si>
  <si>
    <r>
      <t xml:space="preserve">00032996
</t>
    </r>
    <r>
      <rPr>
        <sz val="8.5"/>
        <color indexed="8"/>
        <rFont val="細明體"/>
        <family val="3"/>
      </rPr>
      <t>補助單位未要求繳交出國報告</t>
    </r>
  </si>
  <si>
    <t>00032084
補助單位未要求繳交出國報告</t>
  </si>
  <si>
    <t>00031440
補助單位未要求繳交出國報告</t>
  </si>
  <si>
    <t>參加會議：IEEE International Conference on Acoustics, Speech, and Signal Processing (ICASSP), 2016 發表論文</t>
  </si>
  <si>
    <t>參加會議：ICASSP 2016 發表論文</t>
  </si>
  <si>
    <t>參加會議：IEEE ICASSP 2016 發表論文</t>
  </si>
  <si>
    <t>參加Asiainfo委託研究案合作會議</t>
  </si>
  <si>
    <t>基於大數據分析技術建立小兒心臟疾病之標準化聲音採集以及判讀系統建置_MOST105-2218-E-001-004</t>
  </si>
  <si>
    <t>參加會議：ISCSLP 2016 發表論文</t>
  </si>
  <si>
    <t>參加會議：The 2016 IEEE 83rd Vehicular Technology Conference 發表論文</t>
  </si>
  <si>
    <t>參加會議：The 9th ACM SIGGRAPH Conference and Exhibition on Computer Graphics and Interactive Techniques in Asia 發表論文</t>
  </si>
  <si>
    <t>105/01/27-105/01/31</t>
  </si>
  <si>
    <t>澳門(Macau) 香港(Hong Kong)</t>
  </si>
  <si>
    <t>1.出國訪問：Hong Kong Polytechnic Univ. 2.參加會議：University of Macau Symposium for Prof. Liu</t>
  </si>
  <si>
    <t>參加會議：ACM/IEEE Asia and South Pacific Design Automation Conference (ASP-DAC)的 議程委員會議(TPC Meeting)</t>
  </si>
  <si>
    <r>
      <t xml:space="preserve">00027858
</t>
    </r>
    <r>
      <rPr>
        <sz val="8.5"/>
        <color indexed="8"/>
        <rFont val="細明體"/>
        <family val="3"/>
      </rPr>
      <t>出國報告併期末報告一併繳交</t>
    </r>
  </si>
  <si>
    <r>
      <t xml:space="preserve">00027892
</t>
    </r>
    <r>
      <rPr>
        <sz val="8.5"/>
        <color indexed="8"/>
        <rFont val="細明體"/>
        <family val="3"/>
      </rPr>
      <t>計畫未結案併期末報告一併繳交</t>
    </r>
  </si>
  <si>
    <r>
      <t xml:space="preserve">00027756
</t>
    </r>
    <r>
      <rPr>
        <sz val="8.5"/>
        <color indexed="8"/>
        <rFont val="細明體"/>
        <family val="3"/>
      </rPr>
      <t>出國報告併期末報告一併繳交</t>
    </r>
  </si>
  <si>
    <r>
      <t xml:space="preserve">00028999
</t>
    </r>
    <r>
      <rPr>
        <sz val="8.5"/>
        <color indexed="8"/>
        <rFont val="細明體"/>
        <family val="3"/>
      </rPr>
      <t>補助單位未要求繳交出國報告</t>
    </r>
  </si>
  <si>
    <r>
      <t xml:space="preserve">00031971
</t>
    </r>
    <r>
      <rPr>
        <sz val="8.5"/>
        <color indexed="8"/>
        <rFont val="細明體"/>
        <family val="3"/>
      </rPr>
      <t>計畫未結案併期末報告一併繳交</t>
    </r>
  </si>
  <si>
    <r>
      <t xml:space="preserve">00028108
</t>
    </r>
    <r>
      <rPr>
        <sz val="8.5"/>
        <color indexed="8"/>
        <rFont val="細明體"/>
        <family val="3"/>
      </rPr>
      <t>計畫未結案併期末報告一併繳交</t>
    </r>
  </si>
  <si>
    <r>
      <t xml:space="preserve">00032171
</t>
    </r>
    <r>
      <rPr>
        <sz val="8.5"/>
        <color indexed="8"/>
        <rFont val="細明體"/>
        <family val="3"/>
      </rPr>
      <t>補助單位未要求繳交出國報告</t>
    </r>
  </si>
  <si>
    <t>1.出國訪問：清華大學電子工程系</t>
  </si>
  <si>
    <t>出國訪問:參訪與參加清華大學電子工程系與首都師範大學信息工程學院之交流學術會議</t>
  </si>
  <si>
    <t>參訪香港城市大學(Prof. Chong-Wah Ngo)</t>
  </si>
  <si>
    <t>出國訪問:香港中文大學計算機科學與工程系</t>
  </si>
  <si>
    <t>與香港大學Leszek Karczmarski副教授，共同執行野外調查收集香港海域之水下錄音、合作研究並撰寫論文</t>
  </si>
  <si>
    <r>
      <t xml:space="preserve">00028182
</t>
    </r>
    <r>
      <rPr>
        <sz val="8.5"/>
        <color indexed="8"/>
        <rFont val="細明體"/>
        <family val="3"/>
      </rPr>
      <t>補助單位未要求繳交出國報告</t>
    </r>
  </si>
  <si>
    <r>
      <t xml:space="preserve">00031266
</t>
    </r>
    <r>
      <rPr>
        <sz val="8.5"/>
        <color indexed="8"/>
        <rFont val="細明體"/>
        <family val="3"/>
      </rPr>
      <t>計畫未結案併期末報告一併繳交</t>
    </r>
  </si>
  <si>
    <t>105/09/29-105/10/02</t>
  </si>
  <si>
    <t>利瑪竇&lt;天主實義&gt;與中、韓儒者的交涉:以楊廷筠、丁若鏞為例_NSC101-2410-H-001-023-MY3</t>
  </si>
  <si>
    <t>105/12/21-105/12/31</t>
  </si>
  <si>
    <t>首爾(Seoul) 釜山(Pusan) 晉州 光州(Kwangju)</t>
  </si>
  <si>
    <t>赴大陸北京出席國際學術研討會,發表論文,並蒐集資料。</t>
  </si>
  <si>
    <t>105/11/15-105/11/21</t>
  </si>
  <si>
    <t>陳相因計畫結餘款</t>
  </si>
  <si>
    <t>赴香港中文大學蒐集資料</t>
  </si>
  <si>
    <t>105/12/22-105/12/24</t>
  </si>
  <si>
    <r>
      <t xml:space="preserve">00033173
</t>
    </r>
    <r>
      <rPr>
        <sz val="10"/>
        <color indexed="8"/>
        <rFont val="細明體"/>
        <family val="3"/>
      </rPr>
      <t>報告於結案時繳交</t>
    </r>
  </si>
  <si>
    <r>
      <t xml:space="preserve">00031392
</t>
    </r>
    <r>
      <rPr>
        <sz val="10"/>
        <color indexed="8"/>
        <rFont val="細明體"/>
        <family val="3"/>
      </rPr>
      <t>報告於結案時繳交</t>
    </r>
  </si>
  <si>
    <r>
      <t xml:space="preserve">00031452
</t>
    </r>
    <r>
      <rPr>
        <sz val="10"/>
        <color indexed="8"/>
        <rFont val="細明體"/>
        <family val="3"/>
      </rPr>
      <t>報告於結案時繳交</t>
    </r>
  </si>
  <si>
    <r>
      <t xml:space="preserve">00032046
</t>
    </r>
    <r>
      <rPr>
        <sz val="10"/>
        <color indexed="8"/>
        <rFont val="細明體"/>
        <family val="3"/>
      </rPr>
      <t>報告於結案時繳交</t>
    </r>
  </si>
  <si>
    <r>
      <t xml:space="preserve">00029018
</t>
    </r>
    <r>
      <rPr>
        <sz val="7"/>
        <color indexed="8"/>
        <rFont val="細明體"/>
        <family val="3"/>
      </rPr>
      <t>主持人於</t>
    </r>
    <r>
      <rPr>
        <sz val="7"/>
        <color indexed="8"/>
        <rFont val="Calibri"/>
        <family val="2"/>
      </rPr>
      <t>105</t>
    </r>
    <r>
      <rPr>
        <sz val="7"/>
        <color indexed="8"/>
        <rFont val="細明體"/>
        <family val="3"/>
      </rPr>
      <t>年</t>
    </r>
    <r>
      <rPr>
        <sz val="7"/>
        <color indexed="8"/>
        <rFont val="Calibri"/>
        <family val="2"/>
      </rPr>
      <t>9</t>
    </r>
    <r>
      <rPr>
        <sz val="7"/>
        <color indexed="8"/>
        <rFont val="細明體"/>
        <family val="3"/>
      </rPr>
      <t>月離職</t>
    </r>
    <r>
      <rPr>
        <sz val="7"/>
        <color indexed="8"/>
        <rFont val="Calibri"/>
        <family val="2"/>
      </rPr>
      <t>,</t>
    </r>
    <r>
      <rPr>
        <sz val="7"/>
        <color indexed="8"/>
        <rFont val="細明體"/>
        <family val="3"/>
      </rPr>
      <t>因故無法登入系統致延誤繳交</t>
    </r>
  </si>
  <si>
    <r>
      <t xml:space="preserve">00030726
</t>
    </r>
    <r>
      <rPr>
        <sz val="9"/>
        <color indexed="8"/>
        <rFont val="細明體"/>
        <family val="3"/>
      </rPr>
      <t>補助單位未要求</t>
    </r>
    <r>
      <rPr>
        <sz val="9"/>
        <color indexed="8"/>
        <rFont val="Calibri"/>
        <family val="2"/>
      </rPr>
      <t>,</t>
    </r>
    <r>
      <rPr>
        <sz val="9"/>
        <color indexed="8"/>
        <rFont val="細明體"/>
        <family val="3"/>
      </rPr>
      <t>無需繳報告</t>
    </r>
  </si>
  <si>
    <t>00032583
報告於結案時繳交</t>
  </si>
  <si>
    <t>00033207
報告於結案時繳交</t>
  </si>
  <si>
    <t>個人科研基金(計畫結餘款再運用600008)</t>
  </si>
  <si>
    <t>105/07/29-106/02/05</t>
  </si>
  <si>
    <t>返回台灣擔任本所與暨南大學合辦之國際學術研討會評論人，且其主持之院內主題計畫邀請德國布倫瑞克工業大學藥學史教授Prof. Dr. Bettina Wahrig 來台發表演講並出席座談等，需擔任共同接待、主持及與談之任務，並藉機討論臺德雙邊合作交流之經費申請與互訪規劃相關事宜。</t>
  </si>
  <si>
    <t>本所劉士永研究員因獲科技部105年度(第54屆)補助科學與技術人員國外短期研究核定，預定於105年7月29日起至106年1月28日期間，帶職帶薪赴美國約翰霍普金斯大學醫學史系(Department of the History of Medicine,JohsHopkins University)進行訪問研究，執行「冷戰時期東亞地區之國際衛生」相關研究計畫。</t>
  </si>
  <si>
    <r>
      <t xml:space="preserve">00032835
</t>
    </r>
    <r>
      <rPr>
        <sz val="6"/>
        <color indexed="8"/>
        <rFont val="細明體"/>
        <family val="3"/>
      </rPr>
      <t>原簽呈申請補助</t>
    </r>
    <r>
      <rPr>
        <sz val="6"/>
        <color indexed="8"/>
        <rFont val="Calibri"/>
        <family val="2"/>
      </rPr>
      <t>NT$65,000</t>
    </r>
    <r>
      <rPr>
        <sz val="6"/>
        <color indexed="8"/>
        <rFont val="細明體"/>
        <family val="3"/>
      </rPr>
      <t>，實支金額為</t>
    </r>
    <r>
      <rPr>
        <sz val="6"/>
        <color indexed="8"/>
        <rFont val="Calibri"/>
        <family val="2"/>
      </rPr>
      <t>NT$33,256</t>
    </r>
    <r>
      <rPr>
        <sz val="6"/>
        <color indexed="8"/>
        <rFont val="細明體"/>
        <family val="3"/>
      </rPr>
      <t>，故本筆金為是預估差額。</t>
    </r>
  </si>
  <si>
    <t>00026099</t>
  </si>
  <si>
    <t>00028088</t>
  </si>
  <si>
    <t>00028158</t>
  </si>
  <si>
    <t>00029282</t>
  </si>
  <si>
    <t>00029700</t>
  </si>
  <si>
    <t>00029849</t>
  </si>
  <si>
    <t>00027614</t>
  </si>
  <si>
    <t>00029501</t>
  </si>
  <si>
    <t>00030281</t>
  </si>
  <si>
    <t>00029780</t>
  </si>
  <si>
    <t>00029656</t>
  </si>
  <si>
    <t>00030997</t>
  </si>
  <si>
    <t>00029346</t>
  </si>
  <si>
    <t>00032112</t>
  </si>
  <si>
    <t>00031370</t>
  </si>
  <si>
    <t>00028136</t>
  </si>
  <si>
    <t>00030286</t>
  </si>
  <si>
    <t>「台灣社會變遷基本調查計畫」之計畫主持人，赴瑞士蘇黎世 (Zurich) 參加「國際社會調查計畫2017年主題設計小組會議」(Drafting Group Meeting for ISSP 2017 Module)。</t>
  </si>
  <si>
    <t>105/01/07-105/01/11</t>
  </si>
  <si>
    <t>本所科技部「台灣社會變遷基本調查計畫」計畫主持人傅仰止研究員，於4/28-5/5赴立陶宛Kaunas參加國際社會調查計畫（International Social Survey Programme, 簡稱ISSP）召開之2016年會。</t>
  </si>
  <si>
    <t>105/04/28-105/05/05</t>
  </si>
  <si>
    <t>Kaunas</t>
  </si>
  <si>
    <t>本所科技部「台灣社會變遷基本調查計畫」之協同研究人員俞振華教授，隨同計畫主持人於4/28-5/5赴立陶宛Kaunas參加國際社會調查計畫（International Social Survey Programme, 簡稱ISSP）召開之2016年會5。</t>
  </si>
  <si>
    <t>齊偉先副研究員於105年6月4日至6月13日赴美國耶魯大學參加｢健康促進醫院國際研討會 (HPH 2016)｣，發表論文。</t>
  </si>
  <si>
    <t>105/06/04-105/06/13</t>
  </si>
  <si>
    <t>吳齊殷研究員兼任副所長於105年7月9日至18日赴奧地利維也納參加Third ISA Forum of Sociology-The Futures We Want: global Sociology and the Struggles for a Better World。</t>
  </si>
  <si>
    <t>105/07/09-105/07/18</t>
  </si>
  <si>
    <t>伊慶春特聘研究員於105年7月9日至7月20日赴奧地利維也納參加The 3rd ISA Sociological Forum，以及召開RCC的期中會議。</t>
  </si>
  <si>
    <t>105/07/09-105/07/20</t>
  </si>
  <si>
    <t>蕭阿勤研究員3/4-14赴紐西蘭威靈頓參加Border Studies Down Under會議。並順道參訪，所需經費部分主辦單位支付，部份由本所業務費項下支應。</t>
  </si>
  <si>
    <t>105/03/04-105/03/14</t>
  </si>
  <si>
    <t>謝斐宇副研究員於105年6月22日至7月3日赴美國加州柏克萊參加會議並發表論文和個人休假。</t>
  </si>
  <si>
    <t>105/06/22-105/07/03</t>
  </si>
  <si>
    <t>鄭雁馨助研究員於105年8月28日至9月11日赴德國緬因茲(Mainz)參加2016歐洲人口學會年會會議。此次經費部份由科技部計畫經費，部份由所方經費支應。</t>
  </si>
  <si>
    <t>105/08/28-105/09/11</t>
  </si>
  <si>
    <t>Mainz</t>
  </si>
  <si>
    <t>陳志柔副研究員兼任副所長於105年7月10日至8月3日赴美國紐約、麻州劍橋、洛杉磯執行教育部跨國人才培育計畫及相關學術合作研究訪問等。</t>
  </si>
  <si>
    <t>105/07/10-105/08/03</t>
  </si>
  <si>
    <t>紐約市(New York,New York) 劍橋(Cambridge,Massachusetts) 洛杉磯(Los Angeles,California)</t>
  </si>
  <si>
    <t>吳齊殷研究員兼任副所長於105年6月30日至7月6日赴日本慶應大學參加由the Keio University Anthropological Society, the Keio University Mita Philosophy Society and the JFE Asian History Research Aid Project共同舉辦的工作坊，此行擔任與談人。</t>
  </si>
  <si>
    <t>105/06/30-105/07/06</t>
  </si>
  <si>
    <t>齊偉先副研究員於105年9月3日至9月12日赴義大利波隆那(Bologna) 參加歐洲社會學會(ESA) RN5 研究群的 Midterm Conference會議。</t>
  </si>
  <si>
    <t>汪宏倫研究員於105年6月7日至6月14日赴加拿大多倫多出席North American Taiwan Studies Association (NATSA) 22nd Annual Conference，並執行教育部人文社會科學學術人才跨國培育計畫。</t>
  </si>
  <si>
    <t>105/06/07-105/06/14</t>
  </si>
  <si>
    <t>蕭新煌特聘研究員擬於105年11月12日至11月17日(11月12出發，13日抵達，14日演講，15日與主辦單位商訂International Journal of Taiwan Studies之籌備，16日返台，17日抵台)在英國University of Nottingham的Taiwan Studies Program的年度Taiwan Studies Lectures發表演講。</t>
  </si>
  <si>
    <t>105/11/12-105/11/17</t>
  </si>
  <si>
    <t>Nottingham</t>
  </si>
  <si>
    <t>黃庭康副研究員於105年11月1日至15日赴美國羅德島參加 History of Education Society Annual Meeting 2016，會後將至美國波士頓參訪和蒐集資料。</t>
  </si>
  <si>
    <t>105/11/01-105/11/15</t>
  </si>
  <si>
    <t>羅德島 波士頓(Boston,Massachuseetts)</t>
  </si>
  <si>
    <t>6月19-26日赴以色列參加「東亞全球城市的中產階級：空間、社區與生活方式國際研討會」(Middle Classes in East Asia’s Global Cities: Spaces, Communities and Lifestyles)。</t>
  </si>
  <si>
    <t>台拉維夫(Tel Aviv)</t>
  </si>
  <si>
    <t>赴加拿大多倫多參加美國鄉村社會學會(Rural Sociological Society) 年會，並於會議上發表研究論文“Spatial distribution of sustainable agriculture and its underlying community correlates” ，本次經費由科技部支應。</t>
  </si>
  <si>
    <t>105/08/06-105/08/12</t>
  </si>
  <si>
    <t>社會所計畫結餘款再運用</t>
  </si>
  <si>
    <t>蔡友月計畫結餘款再運用</t>
  </si>
  <si>
    <t>蕭新煌特聘研究員計畫結餘款再運用</t>
  </si>
  <si>
    <t>蕭新煌計畫結餘款再運用</t>
  </si>
  <si>
    <t>蔡淑鈴計畫結餘款再運用</t>
  </si>
  <si>
    <t>赴日本東京參加East Asia Conference for Young Sociologists研討會研討會。</t>
  </si>
  <si>
    <t>105/01/31-105/02/03</t>
  </si>
  <si>
    <t>00027295</t>
  </si>
  <si>
    <t>赴日本東京參加East Asia Conference for Young Sociologists研討會。</t>
  </si>
  <si>
    <t>105/01/31-105/02/06</t>
  </si>
  <si>
    <t>00027304</t>
  </si>
  <si>
    <t>105/01/31-105/02/04</t>
  </si>
  <si>
    <t>00027323</t>
  </si>
  <si>
    <t>00027303</t>
  </si>
  <si>
    <t>蔡友月副研究員於105年8月28日至9月13日赴西班牙巴塞隆納參加2016 4S (Society for Social Studies of Science) Annual Meeting。</t>
  </si>
  <si>
    <t>105/08/28-105/09/13</t>
  </si>
  <si>
    <t>00030516</t>
  </si>
  <si>
    <t>蕭新煌特聘研究員擬於105年10月20日至23日應邀前往南韓國立首爾大學參加由SNU Asia Center主辦的Global Capitalism and Culture in East Asia國際研討會。並於會後參訪國立首爾大學。</t>
  </si>
  <si>
    <t>105/10/20-105/10/23</t>
  </si>
  <si>
    <t>00031790</t>
  </si>
  <si>
    <t>00027300</t>
  </si>
  <si>
    <t>蔡淑鈴研究員於105年8月27日至9月9日赴瑞士University of Bern參加國際社會學會社會階層研究委員會2016年夏季研討會，並於會後與Michael Lee Smith商議科技部台捷國合計畫之捷方PI。</t>
  </si>
  <si>
    <t>105/08/27-105/09/09</t>
  </si>
  <si>
    <t>伯恩(Bern)</t>
  </si>
  <si>
    <t>00030577</t>
  </si>
  <si>
    <t>蕭新煌特聘研究員擬於105年12月12日至15日赴日本東京參加由日本National Graduate Institute for Policy Studies (GRIPS) (政策研究大學院大學)主辦的工作坊。</t>
  </si>
  <si>
    <t>105/12/12-105/12/15</t>
  </si>
  <si>
    <t>00032047</t>
  </si>
  <si>
    <t>楊文山計畫結餘款再運用</t>
  </si>
  <si>
    <t>楊文山研究員於105年7月25日至31日赴新加坡參加由新加坡大學亞洲研究中心(Asia Research Institute)舉辦的亞洲移民與婚姻研討會。</t>
  </si>
  <si>
    <t>00030401</t>
  </si>
  <si>
    <t>建構水平連結：台灣去中心化的生產體制的技能形成</t>
  </si>
  <si>
    <t>105/08/09</t>
  </si>
  <si>
    <t>高雄</t>
  </si>
  <si>
    <t>105.08.16＃615375誤列科目為「國外旅費」，於106.01.19＃616017轉正。</t>
  </si>
  <si>
    <t>105/08/02</t>
  </si>
  <si>
    <t>陳志柔計畫結餘款再運用</t>
  </si>
  <si>
    <r>
      <rPr>
        <sz val="10"/>
        <color indexed="8"/>
        <rFont val="細明體"/>
        <family val="3"/>
      </rPr>
      <t>赴香港參加</t>
    </r>
    <r>
      <rPr>
        <sz val="10"/>
        <color indexed="8"/>
        <rFont val="Calibri"/>
        <family val="2"/>
      </rPr>
      <t>Hong Kong Future Dialogue Series</t>
    </r>
    <r>
      <rPr>
        <sz val="10"/>
        <color indexed="8"/>
        <rFont val="細明體"/>
        <family val="3"/>
      </rPr>
      <t>研討會議等。</t>
    </r>
  </si>
  <si>
    <r>
      <t>103</t>
    </r>
    <r>
      <rPr>
        <sz val="10"/>
        <color indexed="8"/>
        <rFont val="細明體"/>
        <family val="3"/>
      </rPr>
      <t>年度（第</t>
    </r>
    <r>
      <rPr>
        <sz val="10"/>
        <color indexed="8"/>
        <rFont val="Calibri"/>
        <family val="2"/>
      </rPr>
      <t>52</t>
    </r>
    <r>
      <rPr>
        <sz val="10"/>
        <color indexed="8"/>
        <rFont val="細明體"/>
        <family val="3"/>
      </rPr>
      <t>屆）科學與技術人員國外短期研究補助</t>
    </r>
    <r>
      <rPr>
        <sz val="10"/>
        <color indexed="8"/>
        <rFont val="細明體"/>
        <family val="3"/>
      </rPr>
      <t>。</t>
    </r>
  </si>
  <si>
    <r>
      <rPr>
        <sz val="10"/>
        <color indexed="8"/>
        <rFont val="細明體"/>
        <family val="3"/>
      </rPr>
      <t>科技部</t>
    </r>
    <r>
      <rPr>
        <sz val="10"/>
        <color indexed="8"/>
        <rFont val="Calibri"/>
        <family val="2"/>
      </rPr>
      <t>103</t>
    </r>
    <r>
      <rPr>
        <sz val="10"/>
        <color indexed="8"/>
        <rFont val="細明體"/>
        <family val="3"/>
      </rPr>
      <t>年度（第</t>
    </r>
    <r>
      <rPr>
        <sz val="10"/>
        <color indexed="8"/>
        <rFont val="Calibri"/>
        <family val="2"/>
      </rPr>
      <t>52</t>
    </r>
    <r>
      <rPr>
        <sz val="10"/>
        <color indexed="8"/>
        <rFont val="細明體"/>
        <family val="3"/>
      </rPr>
      <t>屆）科學與技術人員國外短期研究補助</t>
    </r>
    <r>
      <rPr>
        <sz val="10"/>
        <color indexed="8"/>
        <rFont val="細明體"/>
        <family val="3"/>
      </rPr>
      <t>。</t>
    </r>
  </si>
  <si>
    <r>
      <rPr>
        <sz val="10"/>
        <color indexed="8"/>
        <rFont val="細明體"/>
        <family val="3"/>
      </rPr>
      <t>蕭新煌特聘研究員於</t>
    </r>
    <r>
      <rPr>
        <sz val="10"/>
        <color indexed="8"/>
        <rFont val="Calibri"/>
        <family val="2"/>
      </rPr>
      <t>105</t>
    </r>
    <r>
      <rPr>
        <sz val="10"/>
        <color indexed="8"/>
        <rFont val="細明體"/>
        <family val="3"/>
      </rPr>
      <t>年</t>
    </r>
    <r>
      <rPr>
        <sz val="10"/>
        <color indexed="8"/>
        <rFont val="Calibri"/>
        <family val="2"/>
      </rPr>
      <t>7</t>
    </r>
    <r>
      <rPr>
        <sz val="10"/>
        <color indexed="8"/>
        <rFont val="細明體"/>
        <family val="3"/>
      </rPr>
      <t>月</t>
    </r>
    <r>
      <rPr>
        <sz val="10"/>
        <color indexed="8"/>
        <rFont val="Calibri"/>
        <family val="2"/>
      </rPr>
      <t>11</t>
    </r>
    <r>
      <rPr>
        <sz val="10"/>
        <color indexed="8"/>
        <rFont val="細明體"/>
        <family val="3"/>
      </rPr>
      <t>日至</t>
    </r>
    <r>
      <rPr>
        <sz val="10"/>
        <color indexed="8"/>
        <rFont val="Calibri"/>
        <family val="2"/>
      </rPr>
      <t>7</t>
    </r>
    <r>
      <rPr>
        <sz val="10"/>
        <color indexed="8"/>
        <rFont val="細明體"/>
        <family val="3"/>
      </rPr>
      <t>月</t>
    </r>
    <r>
      <rPr>
        <sz val="10"/>
        <color indexed="8"/>
        <rFont val="Calibri"/>
        <family val="2"/>
      </rPr>
      <t>14</t>
    </r>
    <r>
      <rPr>
        <sz val="10"/>
        <color indexed="8"/>
        <rFont val="細明體"/>
        <family val="3"/>
      </rPr>
      <t>日，執行科技部計畫赴印尼雅加達進行田野訪談。</t>
    </r>
  </si>
  <si>
    <t>00028121</t>
  </si>
  <si>
    <t>00027250</t>
  </si>
  <si>
    <t>00029883</t>
  </si>
  <si>
    <t>00031994</t>
  </si>
  <si>
    <t>00032043</t>
  </si>
  <si>
    <t>00029780</t>
  </si>
  <si>
    <t>赴美國洛杉磯、亞特蘭大、芝加哥大學研究,並蒐集資料。</t>
  </si>
  <si>
    <t>赴日本京都蒐集資料</t>
  </si>
  <si>
    <t>赴韓國首爾、京畿道（廣州市、南楊州市）、忠清道（堤川市）、慶尚道(釜山、晉州)、全羅道（光州、康津、定邑）等地,蒐集韓國天主教與丁若鏞相關研究資料。</t>
  </si>
  <si>
    <t>赴日本九州鹿兒島蒐集資料</t>
  </si>
  <si>
    <t>赴日本大阪、東京蒐集資料。</t>
  </si>
  <si>
    <t>赴德國法蘭克福歌德大學參加學術會議,發表論文,並蒐集資料。</t>
  </si>
  <si>
    <t>為執行科技部專題研究計畫「跨政權下的帝國商人：以十九世紀到二十世紀的臺南郊商為中心」，預定於105年6月27日起至7月3日期間，前往京都、神戶、大阪等地進行研究資料的蒐集。</t>
  </si>
  <si>
    <t>吳介民副研究員4/22-6/24赴波蘭、匈牙利等國進行田野訪談及法國高等社會科學院(EHESS)短期訪問旅費。</t>
  </si>
  <si>
    <t>105/01/20-2/3赴美國華盛頓特區參加研討會並赴日本東京研究訪問及參加研討會。</t>
  </si>
  <si>
    <t>蕭新煌特聘研究員於105年7月11日至7月14日，為執行科技部計畫赴印尼雅加達進行田野訪談。</t>
  </si>
  <si>
    <t>鄭雁馨助研究員擬於105年11月5日至105年11月19日（實際出國至返國日期）赴泰國曼谷參加由Chulalongkorn University的College of Population Studies與Asian MetaCentre合辦之Demographic Analysis and Computer Application Workshop</t>
  </si>
  <si>
    <t>汪宏倫研究員因執行國科會專題計畫｢尋找東亞的共生契機:探討超越國族現實的可能性｣，擬於105年10月20日至10月31日赴韓國濟州、首爾、春川教育大學、韓神大學等地蒐集跨越國境的歷史書寫與戰爭記憶等相關資料。</t>
  </si>
  <si>
    <t>00016646
105.01.06＃615001收回已結案旅費</t>
  </si>
  <si>
    <t>00016645
105.03.07＃615158支付已結案旅費</t>
  </si>
  <si>
    <t>接受補助及委託計畫</t>
  </si>
  <si>
    <t>接受補助及委託計畫</t>
  </si>
  <si>
    <t>創新轉譯農學研究計畫</t>
  </si>
  <si>
    <t>重大疾病之新藥與疫苗研發計畫</t>
  </si>
  <si>
    <t>臺灣人體生物資料庫計畫</t>
  </si>
  <si>
    <t>打造世界級蛋白質研究重鎮計畫</t>
  </si>
  <si>
    <t>育成中心計畫</t>
  </si>
  <si>
    <t>全球氣候變遷與社會脆弱性：來自150國數據的證據，1980-2010_MOST 104-2410-H-001-054-MY2</t>
  </si>
  <si>
    <t>林宗弘副研究員於105年6月25日至7月2日赴中國浙江金華市參加｢2016兩岸社會議題研討工作坊｣，及中國南京參加｢兩岸三地華人社會變遷與互動｣學術研討會。</t>
  </si>
  <si>
    <t>台灣年輕成人初婚(早婚）夫妻的擇偶過程、婚配模式以及婚姻生活：個人、家庭和文化之長期影響機制的探討_MOST 103-2410-H-001-065- MY3</t>
  </si>
  <si>
    <t>105年5月24日至28日赴北京參加國際社會學社的家庭研究委員會與北京中國社會科學聯合舉辦的ISA RC06年會。5月29日至30日則應上海社科院社會學所包蕾萍教授之邀轉往上海商討未來台滬家庭變遷研討會雙方輪流主辦事宜。</t>
  </si>
  <si>
    <t>吳齊殷研究員兼副所長擬於105年11月13日至14日赴香港參加由香港教育大學大中華研究中心舉辦的｢兩岸四地青年研究交流會｣。</t>
  </si>
  <si>
    <t>台灣地區社會變遷基本調查研究第一七（I-III）_MOST 104-2420-H-001-005-SS3</t>
  </si>
  <si>
    <t>本所科技部「台灣社會變遷基本調查計畫」之計畫助理嚴敬雯小姐，隨同計畫第七期第二次家庭問卷設計小組成員章英華兼任研究員以及鄭雁馨助研究員參加「東亞社會調查2016年家庭模組問卷會議」。</t>
  </si>
  <si>
    <t>所科技部「台灣社會變遷基本調查計畫」之協同研究人員以及第七期第二次家庭問卷設計小組成員鄭雁馨助研究員，於4/12-14與章英華兼任研究員及計畫助理嚴敬雯參加「東亞社會調查2016年家庭模組問卷會議」。</t>
  </si>
  <si>
    <r>
      <t xml:space="preserve">00026525
</t>
    </r>
    <r>
      <rPr>
        <sz val="7"/>
        <color indexed="8"/>
        <rFont val="細明體"/>
        <family val="3"/>
      </rPr>
      <t>收回</t>
    </r>
    <r>
      <rPr>
        <sz val="7"/>
        <color indexed="8"/>
        <rFont val="Calibri"/>
        <family val="2"/>
      </rPr>
      <t>104</t>
    </r>
    <r>
      <rPr>
        <sz val="7"/>
        <color indexed="8"/>
        <rFont val="細明體"/>
        <family val="3"/>
      </rPr>
      <t>年度旅費</t>
    </r>
    <r>
      <rPr>
        <sz val="7"/>
        <color indexed="8"/>
        <rFont val="Calibri"/>
        <family val="2"/>
      </rPr>
      <t>(105.01.07#615006</t>
    </r>
    <r>
      <rPr>
        <sz val="7"/>
        <color indexed="8"/>
        <rFont val="細明體"/>
        <family val="3"/>
      </rPr>
      <t>淨支出）</t>
    </r>
  </si>
  <si>
    <t>105/10/26-105/10/28</t>
  </si>
  <si>
    <t>汪宏倫研究員於105年6月30日至7月10日赴中國香港、杭州、南京、上海等地搜集資料。</t>
  </si>
  <si>
    <t>105年7月16日至7月29日赴香港政府檔案處與香港理工大學圖書館蒐集殖民統治下的高等教育政治相關歷史資料。</t>
  </si>
  <si>
    <t>陳志柔副研究員兼副所長於105年9月20日至22日赴深圳、東莞進行田野調查研究。</t>
  </si>
  <si>
    <t>陳志柔副研究員於105年6月27日至7月1日赴中國南京進行田野調查研究。</t>
  </si>
  <si>
    <t>林宗弘副研究員擬於105年10月26日至28日赴中國廣州進行田野調查與資料蒐集，並與中國廣州市中山大學葉華副教授進行交流參訪。本次經費由科技部計畫經費支應。</t>
  </si>
  <si>
    <r>
      <rPr>
        <sz val="10"/>
        <color indexed="8"/>
        <rFont val="細明體"/>
        <family val="3"/>
      </rPr>
      <t>赴香港參加</t>
    </r>
    <r>
      <rPr>
        <sz val="10"/>
        <color indexed="8"/>
        <rFont val="Calibri"/>
        <family val="2"/>
      </rPr>
      <t>Hong Kong Future Dialogue Series</t>
    </r>
    <r>
      <rPr>
        <sz val="10"/>
        <color indexed="8"/>
        <rFont val="細明體"/>
        <family val="3"/>
      </rPr>
      <t>研討會議等。</t>
    </r>
  </si>
  <si>
    <r>
      <rPr>
        <sz val="10"/>
        <color indexed="8"/>
        <rFont val="細明體"/>
        <family val="3"/>
      </rPr>
      <t>陳志柔副研究員於</t>
    </r>
    <r>
      <rPr>
        <sz val="10"/>
        <color indexed="8"/>
        <rFont val="Calibri"/>
        <family val="2"/>
      </rPr>
      <t>105</t>
    </r>
    <r>
      <rPr>
        <sz val="10"/>
        <color indexed="8"/>
        <rFont val="細明體"/>
        <family val="3"/>
      </rPr>
      <t>年</t>
    </r>
    <r>
      <rPr>
        <sz val="10"/>
        <color indexed="8"/>
        <rFont val="Calibri"/>
        <family val="2"/>
      </rPr>
      <t>6</t>
    </r>
    <r>
      <rPr>
        <sz val="10"/>
        <color indexed="8"/>
        <rFont val="細明體"/>
        <family val="3"/>
      </rPr>
      <t>月</t>
    </r>
    <r>
      <rPr>
        <sz val="10"/>
        <color indexed="8"/>
        <rFont val="Calibri"/>
        <family val="2"/>
      </rPr>
      <t>27</t>
    </r>
    <r>
      <rPr>
        <sz val="10"/>
        <color indexed="8"/>
        <rFont val="細明體"/>
        <family val="3"/>
      </rPr>
      <t>日至</t>
    </r>
    <r>
      <rPr>
        <sz val="10"/>
        <color indexed="8"/>
        <rFont val="Calibri"/>
        <family val="2"/>
      </rPr>
      <t>7</t>
    </r>
    <r>
      <rPr>
        <sz val="10"/>
        <color indexed="8"/>
        <rFont val="細明體"/>
        <family val="3"/>
      </rPr>
      <t>月</t>
    </r>
    <r>
      <rPr>
        <sz val="10"/>
        <color indexed="8"/>
        <rFont val="Calibri"/>
        <family val="2"/>
      </rPr>
      <t>1</t>
    </r>
    <r>
      <rPr>
        <sz val="10"/>
        <color indexed="8"/>
        <rFont val="細明體"/>
        <family val="3"/>
      </rPr>
      <t>日赴中國南京進行田野調查研究</t>
    </r>
  </si>
  <si>
    <r>
      <t>00026328
104</t>
    </r>
    <r>
      <rPr>
        <sz val="6"/>
        <color indexed="8"/>
        <rFont val="細明體"/>
        <family val="3"/>
      </rPr>
      <t>年帳上三級科目誤列為「國外旅費」，於</t>
    </r>
    <r>
      <rPr>
        <sz val="6"/>
        <color indexed="8"/>
        <rFont val="Calibri"/>
        <family val="2"/>
      </rPr>
      <t>105.01.21</t>
    </r>
    <r>
      <rPr>
        <sz val="6"/>
        <color indexed="8"/>
        <rFont val="細明體"/>
        <family val="3"/>
      </rPr>
      <t>＃</t>
    </r>
    <r>
      <rPr>
        <sz val="6"/>
        <color indexed="8"/>
        <rFont val="Calibri"/>
        <family val="2"/>
      </rPr>
      <t>615031</t>
    </r>
    <r>
      <rPr>
        <sz val="6"/>
        <color indexed="8"/>
        <rFont val="細明體"/>
        <family val="3"/>
      </rPr>
      <t>轉帳調整。</t>
    </r>
  </si>
  <si>
    <t>中國科學院上海應用物理所參加第十屆海峽兩岸生物學啟發的理論科學問題研討會(BITS10)。</t>
  </si>
  <si>
    <t>中國科學院上海應用物理所參加第十屆海峽兩岸生物學啟發的理論科學問題研討會(BITS10)</t>
  </si>
  <si>
    <t>可激發網路中的韻律記憶和臨界動態研究_MOST105-2112-M-001-017-MY3</t>
  </si>
  <si>
    <t>於2016-12-14至2016-12-17參加the 9th Dynamics Days Asia-Pacific (DDAP)會議</t>
  </si>
  <si>
    <t>105/12/13-105/12/25</t>
  </si>
  <si>
    <t>2016-07-10至2016-07-15赴香港University of Science and Technology參加Gordon Research Conference 會議</t>
  </si>
  <si>
    <t>李如蕙，於2016年6月6-8日前往中國廣州參加(IWALS)，並進一步洽談後續合作事宜，同時與其他研究者交換認知神經科學研究的心得</t>
  </si>
  <si>
    <t>計畫結餘款再運用(鄭海揚)</t>
  </si>
  <si>
    <t>應邀前往上海交通大學參加「第十四屆重味物理與CP對稱破缺研討會」並發表學術專題演講</t>
  </si>
  <si>
    <t>105/11/02-105/11/08</t>
  </si>
  <si>
    <t>2016年6月5日至6月18日前往中國北京清華大學參與合作團隊數據分析工作。</t>
  </si>
  <si>
    <t>2016-06-17至2016-06-24赴上海(USST)進行移地研究</t>
  </si>
  <si>
    <t>於2016年9月4日至9月8日前往中國北京清華大學參與合作團隊數據分析工作。</t>
  </si>
  <si>
    <t>臺蒙(MN)國合計畫第二年工作目標，其目的在訓練蒙古各典藏單位人員學習多頻譜數位科技，並進行多頻譜影像處理及分析。</t>
  </si>
  <si>
    <t>赴南京航空航天大學進行移地研究，赴武漢華中師範大學進行移地研究。</t>
  </si>
  <si>
    <t>2016年12月1日至12月6日前往中國北京清華大學參與合作團隊數據分析工作事宜。</t>
  </si>
  <si>
    <t>於2016年11月18日至12月5日前往中國北京清華大學參與合作團隊數據分析工作事宜。</t>
  </si>
  <si>
    <t>夏偉華2016年10月11日至10月25日前往中國北京參加(AEPSHEP2016)從事與本職研究業務工作並進行資料蒐集等事宜。</t>
  </si>
  <si>
    <t>詹豐嶽擬於105年10月03日至105年10月07日赴日本Kanazawa參加4th Kanazawa BioAFM Workshop並發表論文。</t>
  </si>
  <si>
    <t>劉亦凡擬於105年10月22日至105年10月31日赴美國Portland, Oregon參加31st ASPE Annual Meeting並發表論文。</t>
  </si>
  <si>
    <t>105年10月04日至105年10月07日赴日本Kanazawa的金澤大學進行學術交流研究與參加4th Kanazawa BioAFM Workshop並發表論文。</t>
  </si>
  <si>
    <t>105年12月12日至105年12月20日赴哥斯大黎加參加SCiMAN2016 and to the Bilateral Workshop CR-TIGP Nano Program CICIMA-Academia Sinica並成邀請講者。</t>
  </si>
  <si>
    <t>泰士仁(Tessera Alemneh Wubieneh)擬於105年11月25日至105年12月09日赴美國Boston出席「2016 MRS Fall Meeting and Exhibit」並發表論文。</t>
  </si>
  <si>
    <t>B介子三體衰變的直接CP破及核子海夸克的味不對稱_MOST104-2112-M-001-022</t>
  </si>
  <si>
    <t>鄭海揚先生應邀前往澳洲雪梨大學參加「第13屆宇宙與粒子天文物理國際研討會」(The 13th International Symposium on Cosmology and Particle Astrophysics,CosPA 2016 )並主持一場次會議</t>
  </si>
  <si>
    <t>出席The physical society of Japan (JPS)會議</t>
  </si>
  <si>
    <t>105/09/19-105/09/25</t>
  </si>
  <si>
    <t>赴瑞典Gothenburg參加Biosensors 2016並參加會後討論以及希臘Crete參加Somatai Conference 2016並參加會後討論。</t>
  </si>
  <si>
    <t>105/05/24-105/06/09</t>
  </si>
  <si>
    <t>希臘(Greece) 瑞典(Sweden)</t>
  </si>
  <si>
    <t>Crete Gothenburg</t>
  </si>
  <si>
    <t>於2016-12-13至2016-12-21赴香港參加The 9th International Meeting of Dynamic Days Asia Pacific (DDAP9)會議</t>
  </si>
  <si>
    <t>105/12/13-105/12/21</t>
  </si>
  <si>
    <t>香港(Hong Kong) 深圳(Shenzhen)</t>
  </si>
  <si>
    <t>王素音2015年10月17日起至2016年1月7日止前往美國國 家費米實驗室（Fermilab）從事實驗研究工作。</t>
  </si>
  <si>
    <t>王嵩銘2016年3月29日至4月5日，自日內瓦前往英國倫敦之倫敦大學學院（Univ. College London）參加ATLAS Hbb Workshop 2016並蒐集相關研究資料。</t>
  </si>
  <si>
    <t>李宗儒擬於民國105年04月02日起至105年04月09日參加「9TH ASIA NANOTECH CAMP」。</t>
  </si>
  <si>
    <t>連翌翔自2016年3月1日起 至2016年4月1日前往瑞士日內瓦之CERN從事研究工作。</t>
  </si>
  <si>
    <t>謝佳諭2015年11月15日起至2016年7月31日止前往CERN從事研究工作。</t>
  </si>
  <si>
    <t>受邀赴日本金澤【LEAP(低能反質子物理學)國際會議】</t>
  </si>
  <si>
    <t>王子敬2016年6月23日至7月12日前往英國倫敦參加研討會並發表專題演講。</t>
  </si>
  <si>
    <t>法蘭西斯柯2015年8月1日起至2016年7月31日前往瑞士日內瓦CERN從事研究工作。</t>
  </si>
  <si>
    <t>陳樫旭新潟朱鷺メッセ(Toki Messe, Niigata)出席「第14屆探討宇宙原子核國際研討會」並發表學術專題論文演講。</t>
  </si>
  <si>
    <t>澤田崇広2016年7月22日至8月1日止日本京都參加簡稱MENU2016會議與「Mini-workshop on hadron tomography」研討會並發表專題演講。</t>
  </si>
  <si>
    <t>馬茲尼2016年2月1日起至2016年7月31日CERN從事研究工作。</t>
  </si>
  <si>
    <t>盛滿諾2016年7月16日至7月23日前往英國雪菲爾（Sheffield）參加研討會（Identification of Dark Matter 2016, IDM2016）並發表專題演講。</t>
  </si>
  <si>
    <t>王蔚2015年8月1日CERN）進行研究工作之差旅費。</t>
  </si>
  <si>
    <t>謝達斌教授受邀參與Asia Nano Forum Summit 2016活動。</t>
  </si>
  <si>
    <t>吳建宏(105)年8月15日起至8月26日止，應邀前往美國加州門洛帕克( Menlo Park)參加「SSI2016 高能前沿新視野國際會議」自9月20日至23日，擬應邀前往加州印第安維爾斯參加「ALMA五年:揭示宇宙黎明國際會議」</t>
  </si>
  <si>
    <t>赴美國加州出席「12th International Conference on Biology and Synchrotron Radiation」</t>
  </si>
  <si>
    <t>於2016年8月22-24日舉辦的年度學術研討會 CCD Annual Workshop，代表我方團隊以MEG進行中文聲調(Mandarin lexical tone)處理的神經機制的研究主題與該研究中心合作成員進行交流，並洽談學術合作事宜</t>
  </si>
  <si>
    <t>105/08/21-105/08/25</t>
  </si>
  <si>
    <t>李如蕙6/22-23前往德國慕尼黑拜會實驗室合作夥伴Prof. Ernst Porpple洽談實驗室合作事宜，於6/24再與參訪團會合繼續荷蘭的參訪行程。</t>
  </si>
  <si>
    <t>往日本金澤參加會議發表論文，並進一步洽談後續合作事宜</t>
  </si>
  <si>
    <t>計畫結餘款再運用(杜其永)</t>
  </si>
  <si>
    <t>參加「The 3rd Asia-Pacific Regional Workshop for Complex Non-Equilibrium Systems」會議，並發表演講。</t>
  </si>
  <si>
    <t>赴波特蘭參加"THE 69th ANNUAL MEETING OF THE AMERICAN PHYSICAL SOCIETY- DIVISION OF FLUID DYNAMICS"會議</t>
  </si>
  <si>
    <t>105/11/10-105/11/25</t>
  </si>
  <si>
    <t>計畫結餘款再運用(李湘楠)</t>
  </si>
  <si>
    <t>應邀前往日本筑波市茨城縣高能加速器研究機構(KEK)參加「2016線型對撞機頂夸克物理研討會」。並順道轉往位於京都「京都大學基礎物理學研究所」進行學術訪問。</t>
  </si>
  <si>
    <t>105/07/05-105/07/16</t>
  </si>
  <si>
    <t>筑波市茨城縣 京都(Kyoto)</t>
  </si>
  <si>
    <t>計畫結餘款再運用(吳茂昆)</t>
  </si>
  <si>
    <t>參加"2016 International workshop &amp; Seminar on High-Performance Imaging of the Brain (HPIB-2016)"會議</t>
  </si>
  <si>
    <t>105/09/26-105/10/09</t>
  </si>
  <si>
    <t>法國(France) 伊朗(Iran)</t>
  </si>
  <si>
    <t>波爾多 德黑蘭(Tehran)</t>
  </si>
  <si>
    <t>同時出席2016第二屆國際智能材料大會（BIT’s 2nd Annual World Congress of Smart Materials-2016, WCSM-2016）並發表演講，與國外學者專家進行交流</t>
  </si>
  <si>
    <t>自日內瓦前往德國慕尼黑參加「HZZ Workshop」進行研究分析報告並蒐集相關數據資料。</t>
  </si>
  <si>
    <t>赴瑞士日內瓦「歐洲粒子物理研究中心」(CERN)蒐集重要實驗研究資料。</t>
  </si>
  <si>
    <t>前往美國德克薩斯州奧斯汀(Austin)之NI Engineering Impact Awards進行研究學術交流等工作。</t>
  </si>
  <si>
    <t>赴日本KEK從事AMS及KAGRA計畫之實驗研究工作並與Toyama大學相關研究人員合作討論</t>
  </si>
  <si>
    <t>法國Saclay研究中心及瑞士日內瓦(CERN)進行蒐集重要實驗資料研究工作。</t>
  </si>
  <si>
    <t>共同主持人中央大學物理系陳鎰鋒教授擬於2016/9/4-9/7日本筑波KEK國家實驗室討論實驗</t>
  </si>
  <si>
    <t>為蒐集資料、瞭解世界各國奈米生技醫療領域之最新技術現況與未來發展趨勢、並與國外學者專家進行交流。</t>
  </si>
  <si>
    <t>研究計劃名稱：以奈米電極隙介電泳之分子捕捉作為拉曼光譜和奈米電子檢測單分子之分析平台，計畫補助編號：105-2918-I-001-003</t>
  </si>
  <si>
    <t>進行學術交流研究。</t>
  </si>
  <si>
    <t>105/09/05-105/12/02</t>
  </si>
  <si>
    <t>杜塞爾多夫(Duesseldorf)</t>
  </si>
  <si>
    <t>「在CERN COMPASS實驗透過非極化Drell-Yan過程探討 強子結構」;計畫編號:105-2911-I-001-513</t>
  </si>
  <si>
    <t>本所擬派兼任助理謝佳諭小姐於本2016年11月25日至12月4日直接由日內瓦前往法國Saclay研究中心蒐集重要實驗研究資料並進行研究，以利執行相關實驗研究工作。</t>
  </si>
  <si>
    <t>105/11/25-105/12/04</t>
  </si>
  <si>
    <t>法國(France) Saclay</t>
  </si>
  <si>
    <t>計畫結餘款再運用(胡宇光)</t>
  </si>
  <si>
    <t>計畫結餘款再運用(王嵩銘)</t>
  </si>
  <si>
    <t>參加ATLAS Hbb Workshop 2016，發表專題演講並進行ATLAS合作討論與蒐集資料等事宜。</t>
  </si>
  <si>
    <t>105/03/25-105/04/03</t>
  </si>
  <si>
    <t>赴「歐洲粒子物理研究中心」（CERN）從事實驗研究工作。</t>
  </si>
  <si>
    <t>前往英國倫敦參加ATLAS Hbb Workshop 2016，發表專題演講並進行ATLAS合作討論與蒐集資料等事宜。</t>
  </si>
  <si>
    <t>前往伊朗德黑蘭帶領台灣相關產業赴會參加“The 9th International Nanotechnology Festival (Iran Nano 2016)”展出。</t>
  </si>
  <si>
    <t>應列經費暫存
會計帳三級科目建置錯誤</t>
  </si>
  <si>
    <t>105年12月3日至12月7日，出席於美國舊金山舉行的【美國細胞生物學學會年會】</t>
  </si>
  <si>
    <t>會計帳三級科目建置錯誤</t>
  </si>
  <si>
    <t>00029735</t>
  </si>
  <si>
    <r>
      <t>科研環境領航計畫</t>
    </r>
    <r>
      <rPr>
        <sz val="10"/>
        <color indexed="8"/>
        <rFont val="Calibri"/>
        <family val="2"/>
      </rPr>
      <t>-</t>
    </r>
    <r>
      <rPr>
        <sz val="10"/>
        <color indexed="8"/>
        <rFont val="細明體"/>
        <family val="3"/>
      </rPr>
      <t>生物醫學科學研究所</t>
    </r>
  </si>
  <si>
    <r>
      <t>研發能量提升計畫</t>
    </r>
    <r>
      <rPr>
        <sz val="10"/>
        <color indexed="8"/>
        <rFont val="Calibri"/>
        <family val="2"/>
      </rPr>
      <t>-</t>
    </r>
    <r>
      <rPr>
        <sz val="10"/>
        <color indexed="8"/>
        <rFont val="細明體"/>
        <family val="3"/>
      </rPr>
      <t>生物醫學科學研究所</t>
    </r>
  </si>
  <si>
    <r>
      <t xml:space="preserve">00031661
</t>
    </r>
    <r>
      <rPr>
        <sz val="10"/>
        <color indexed="8"/>
        <rFont val="細明體"/>
        <family val="3"/>
      </rPr>
      <t>因公務繁忙未克成行</t>
    </r>
  </si>
  <si>
    <t>Smad4類小泛素化在記憶形成與突觸可塑性的角色及機制探討_MOST104-2320-B-001-002-MY3</t>
  </si>
  <si>
    <t>105年2月1日至2月3日出席於泰國曼谷舉行的【The 13th Asia Pacific Federation of Pharmacologist Meeting】</t>
  </si>
  <si>
    <t>探討川崎症之致病基因_NHRI-EX105-10341SI</t>
  </si>
  <si>
    <t>105年6月11日至6月15日，出席於奧地利維也納舉行的【2016 歐洲過敏及臨床免敏會議】</t>
  </si>
  <si>
    <t>105/06/04-105/06/16</t>
  </si>
  <si>
    <t>由雙(羥甲基)?咯衍生物篩選抗肺癌候選藥物(2/3)_MOST104-2325-B-001-001</t>
  </si>
  <si>
    <t>105年3月26日至3月29日，出席於日本橫濱舉行的【1.136th Annual Meeting of the Pharmaceutical Society of Japan; 2.2nd International Symposium for Medicinal Sciences】</t>
  </si>
  <si>
    <t>105/03/25-105/03/30</t>
  </si>
  <si>
    <t>異位性皮膚炎，皮膚微生物群和短鏈脂肪酸－探討第二型先天性淋巴細胞與皮膚常在菌所生成之短鏈脂肪酸在異位性皮膚炎中所扮演之角_MOST104-2320-B-001-022</t>
  </si>
  <si>
    <t>105年5月13日至5月17日，出席於美國西雅圖舉行的【Immunology 2016】</t>
  </si>
  <si>
    <t>105/05/12-105/05/19</t>
  </si>
  <si>
    <t>定位GATA-3於基因體中調控乳癌進展與治療的關鍵位置_MOST104-2314-B-001-005-MY3</t>
  </si>
  <si>
    <t>參加馬來西亞沙巴參加BCAC工作會議, 以汲取參與國際聯盟之經驗, 對於未來進行基因型鑑定之規劃, 將可提供重要之參考。</t>
  </si>
  <si>
    <t>105/04/09-105/04/13</t>
  </si>
  <si>
    <t>馬來西亞(Malaysia)</t>
  </si>
  <si>
    <t>沙巴(Kota Kinabalu Sabah)</t>
  </si>
  <si>
    <t>於105年4月2日至4月6日出席於日本橫濱舉行的【Experimental Biology 2016】</t>
  </si>
  <si>
    <t>105/03/26-105/04/08</t>
  </si>
  <si>
    <t>利用iPS細胞研究與技術發展促進心肌再生_102-2321-B-001-069-MY3</t>
  </si>
  <si>
    <t>105/01/20-105/01/22</t>
  </si>
  <si>
    <t>唾液酸糖?化反應在漢丁頓舞蹈症中神經細胞和微膠細胞互動所扮演的角色(2/3)_MOST104-2321-B-001-032</t>
  </si>
  <si>
    <t>105年4月2日至4月6日出席於美國聖地牙哥舉行的【ASBMB 2016 Annual Meeting】</t>
  </si>
  <si>
    <t>105/04/02-105/04/08</t>
  </si>
  <si>
    <t>利用活體磁振造影了解內皮細胞一氧化氮合成?單體與雙體如何影響缺血性中風的梗塞面積與腦部灌流_MOST104-2320-B-001-003</t>
  </si>
  <si>
    <t>105年5月9日至5月13日，出席於新加坡舉行的【ISMRM 24th Annual Meeting &amp; Exhibition】</t>
  </si>
  <si>
    <t>105/05/08-105/05/13</t>
  </si>
  <si>
    <t>研究登革病毒醣突變株的疫苗潛力(3/3)_MOST105-2321-B-001-008</t>
  </si>
  <si>
    <t>105年3月23日出席於日本橫濱舉行的【Academia Sinica IBMS-RIKEN IMS Joint Workshop】</t>
  </si>
  <si>
    <t>105/03/22-105/03/27</t>
  </si>
  <si>
    <t>發展具心血管疾病保護功能的標靶奈米藥物_MOHW104-TDU-PB-211-000011</t>
  </si>
  <si>
    <t>於105年4月18日至4月21日，出席於阿根廷舉行的【International Society for Heart Research 2016 XXII World Congress</t>
  </si>
  <si>
    <t>105/04/15-105/04/24</t>
  </si>
  <si>
    <t>阿根廷(Argentina)</t>
  </si>
  <si>
    <t>105年4月16日至4月20日，出席於美國紐奧良舉行的【美國癌症研究學會2016年年會】</t>
  </si>
  <si>
    <t>105/04/09-105/04/22</t>
  </si>
  <si>
    <t>國家型生技醫藥國際合作推動計畫IV_MOST104-2325-B-169-001</t>
  </si>
  <si>
    <t>Invited to be the speaker for the 136th Annual meeting of the Pharmaceutical Society of Japan</t>
  </si>
  <si>
    <t>105/03/27-105/03/29</t>
  </si>
  <si>
    <t>半乳糖凝集素3在人類免疫乏病毒繁殖的角色_NSC102-2320-B-001-009-MY3</t>
  </si>
  <si>
    <t>105年3月24日至3月26日出席於美國聖地牙哥舉行的【2016聖地牙哥醣生物學研討會】</t>
  </si>
  <si>
    <t>105/03/18-105/04/05</t>
  </si>
  <si>
    <t>利用先進活細胞螢光顯微鏡影像技術探討細胞膜上JAK2 激?活化及癌化的機轉－利用新穎磷酸化敏感性FRET探針及活細胞PAL_MOST104-2627-M-001-006</t>
  </si>
  <si>
    <t>105年5月29日至6月1日，出席於奧地利茵斯布魯克舉行的【第84屆歐洲動脈硬化學會年度會議】</t>
  </si>
  <si>
    <t>105/05/26-105/06/02</t>
  </si>
  <si>
    <t>茵斯布魯克(Innsbruck)</t>
  </si>
  <si>
    <t>Galectin-4參與抑制膀胱癌細胞移行及轉移之機制探討(1/3)_MOST104-2321-B-001-075</t>
  </si>
  <si>
    <t>105/04/14-105/04/25</t>
  </si>
  <si>
    <t>利用嶄新基因改造小鼠剖析乳癌相關基因SCUBE2的病理功能_MOST104-2320-B-001-011-MY3</t>
  </si>
  <si>
    <t>105年4月16日至4月20日出席於美國紐奧良舉行的【AACR Annual Meeting 2016】</t>
  </si>
  <si>
    <t>105/03/22-105/03/25</t>
  </si>
  <si>
    <t>金屬與蛋白質間與金屬與核酸間結構和功能性的基本準則之闡明_MOST103-2113-M-001-007-MY5</t>
  </si>
  <si>
    <t>105年6月19日至6月22日，出席於挪威舉行的【International Society of Quantum Biology and Pharmacology】</t>
  </si>
  <si>
    <t>105/06/17-105/06/27</t>
  </si>
  <si>
    <t>挪威(Norway)</t>
  </si>
  <si>
    <t>Effects of epicardial injection of VEGF-A modRNA on ventricular function and neovascularization following myocar_dial infarction in the Lanyu mini</t>
  </si>
  <si>
    <t>105年5月17日至5月22日，出席於加拿大蒙特婁舉行的【2016 10th World Biomaterials Congress】</t>
  </si>
  <si>
    <t>105/05/16-105/05/24</t>
  </si>
  <si>
    <t>加拿大(Canada)</t>
  </si>
  <si>
    <t>105/05/15-105/05/24</t>
  </si>
  <si>
    <t>腫瘤微環境中的Serglycin促進腫瘤的惡性特徵_MOST104-2320-B-001-010</t>
  </si>
  <si>
    <t>105年4月16日至4月20日，出席於美國紐奧良舉行的【2016 AACR Annual Meeting】</t>
  </si>
  <si>
    <t>105年5月25日至5月28日出席於新加坡舉行的【22nd Annual Meeting of the International Society for Cellular Therapy (ISCT)】</t>
  </si>
  <si>
    <t>105/05/24-105/05/29</t>
  </si>
  <si>
    <t>核內第一型血紅素氧化脢對癌細胞基因調控機制的探討_MOST103-2320-B-001-013-MY3</t>
  </si>
  <si>
    <t>105年7月21日至7月25日，出席於捷克布拉格舉行的【12th Internatioanl Congress of Cell Biology】</t>
  </si>
  <si>
    <t>105/07/19-105/07/28</t>
  </si>
  <si>
    <t>捷克(Czech Republic)</t>
  </si>
  <si>
    <t>前列腺素E2促進心肌再生的機制研究_NHRI-EX105-10512SI</t>
  </si>
  <si>
    <t>105年7月18日至7月21日，出席於美國鳳凰城舉行的【Basic Cardiovascular Sciences 2016 Scientific Conferences】</t>
  </si>
  <si>
    <t>105/07/17-105/07/29</t>
  </si>
  <si>
    <t>鳳凰城(Phoenix,Arizona) 西雅圖(Seattle,Washington)</t>
  </si>
  <si>
    <t>合成仿生病毒奈米粒子作為MERS冠狀病毒疫苗之應用(1/3)_MOST105-2321-B-001-055</t>
  </si>
  <si>
    <t>於105年8月6日至8月9日，出席於美國聖安東尼舉行的【2016 AAAP/AVMA Annual Meeting】，並順道於8月11日至8月12日訪問University of Texas Medical Branch</t>
  </si>
  <si>
    <t>聖安東尼(San Antonio,Texas) Galveston, Texas</t>
  </si>
  <si>
    <t>視丘腦皮質系統對腦皮質癲癇活性的調控機制_NSC102-2320-B-001-026-MY3</t>
  </si>
  <si>
    <t>105年7月2日至7月6日，出席於丹麥哥本哈根舉行的【10th FENS Forum of Neuroscience &amp; Technical workshop】</t>
  </si>
  <si>
    <t>105/06/30-105/07/24</t>
  </si>
  <si>
    <t>丹麥(Denmark)</t>
  </si>
  <si>
    <t>105年5月18日至5月22日，出席於加拿大蒙特婁舉行的【10th World Biomaterials Congress】</t>
  </si>
  <si>
    <t>105/05/18-105/05/24</t>
  </si>
  <si>
    <t>105年5月25日至6月3日，出席於新加坡及德國舉行的【1.22nd Annual Meeting of the International Society for Cellular Therapy , 2.Seminar at Max Planck, 3.3rd Munich Conference on Cardiac Development】</t>
  </si>
  <si>
    <t>105/05/25-105/06/05</t>
  </si>
  <si>
    <t>新加坡(Singapore) 德國(Germany)</t>
  </si>
  <si>
    <t>新加坡(Singapore) Bad Nauheim 慕尼黑(Munich)</t>
  </si>
  <si>
    <t>人類新穎單一本體基因之探討及功能研究_MOST104-2311-B-001-010-MY3</t>
  </si>
  <si>
    <t>105年7月8日至105年7月12日，出席於美國奧蘭多舉行的【2016 分子生物學智慧型系統國際年會】</t>
  </si>
  <si>
    <t>105/07/01-105/07/14</t>
  </si>
  <si>
    <t>奧蘭多(Orlando,Florida)</t>
  </si>
  <si>
    <t>Daxx蛋白調控組蛋白H3 K27甲基化之分子機轉與癌症細胞轉移之探討(4/5)_MOST104-2321-B-001-001</t>
  </si>
  <si>
    <t>105年7月21日至7月25日，出席於捷克布拉格舉行的【第12屆細胞生物學國際大會】</t>
  </si>
  <si>
    <t>105/07/16-105/07/27</t>
  </si>
  <si>
    <t>類澱粉蛋白引發的內生性保護作用的探討: HDAC1類小泛素化的角色及機制(1/2)_MOST104-2321-B-001-061</t>
  </si>
  <si>
    <t>105年7月22至7月28日，出席於加拿大多倫多舉行的【1.國際失智症研討會；2.失智症及神經退化動物模式研習會及失智症影像聯合會議) 】</t>
  </si>
  <si>
    <t>105/06/29-105/08/01</t>
  </si>
  <si>
    <t>寄生性原蟲陰道滴蟲中鐵誘發G蛋白調控之訊息傳導路 研究_MOST104-2320-B-001-012</t>
  </si>
  <si>
    <t>105年9月18日至9月22日，出席於美國Woods Hole舉行的【2016 Annual Molecular Parasitology Meeting】</t>
  </si>
  <si>
    <t>105/09/13-105/09/24</t>
  </si>
  <si>
    <t>Woods Hole</t>
  </si>
  <si>
    <t>克雷伯氏肺炎菌PmrA反應調控因子形成轉錄起始複合體之結構特性_MOST103-2311-B-001-026-MY3</t>
  </si>
  <si>
    <t>105年8月21日至8月26日，出席於日本京都舉行的【生物系統國際磁共振會議】</t>
  </si>
  <si>
    <t>105/08/21-105/08/29</t>
  </si>
  <si>
    <t>腸道表皮細胞上的腫瘤壞死因子受體HVEM可調控腸道微生物和免疫細胞之間的體內平衡_MOST104-2320-B-001-001-MY2</t>
  </si>
  <si>
    <t>105年8月21日至8月26日出席於澳洲墨爾本舉行的【International Congress of Immunology 2016】</t>
  </si>
  <si>
    <t>105/08/19-105/08/27</t>
  </si>
  <si>
    <t>病毒的分子偽裝:一個計算系統生物學方法的探討_MOST104-2311-B-001-036-MY3</t>
  </si>
  <si>
    <t>105年7月16日至7月19日，出席於美國巴爾的摩舉行的【The 30th Anniversary Symposium of the Protein Society】</t>
  </si>
  <si>
    <t>105/07/14-105/07/21</t>
  </si>
  <si>
    <t>105/08/20-105/08/27</t>
  </si>
  <si>
    <t>慢性疼痛對心臟缺氧再灌流傷害的可能保護機轉_MOST105-2320-B-001-020-MY3</t>
  </si>
  <si>
    <t>105年9月25日至9月30日，出席於日本東京及橫濱舉行的【2016世界疼痛協會年會及會前會】</t>
  </si>
  <si>
    <t>105/09/24-105/09/30</t>
  </si>
  <si>
    <t>東京/橫濱</t>
  </si>
  <si>
    <t>人類疾病誘導型多潛能幹細胞服務聯盟II_MOST105-2325-B-001-009</t>
  </si>
  <si>
    <t>出席於美國紐奧良舉行的【American Heart Association Scientific Sessions 2016】</t>
  </si>
  <si>
    <t>105/11/12-105/11/18</t>
  </si>
  <si>
    <t>紐奧良(New Orleans, Louisiana) 洛杉磯(Los Angeles,California)</t>
  </si>
  <si>
    <t>一種新穎抗菌胜?抗生素之修飾與最佳化研究(3/3))_MOST105-2325-B-001-002</t>
  </si>
  <si>
    <t>105年9月21日至9月24日，出席於韓國首爾舉行的【2016年B型肝炎病毒分子生物學國際會議】</t>
  </si>
  <si>
    <t>105年9月26日至9月30日，出席於日本橫濱舉行的【2016世界疼痛協會年會】</t>
  </si>
  <si>
    <t>105/09/26-105/09/30</t>
  </si>
  <si>
    <t>探討CBAP 蛋白調控T淋巴球在免疫反應及淋巴白血病的運動及功能_NSC102-2320-B-001-007-MY3</t>
  </si>
  <si>
    <t>105/08/19-105/08/28</t>
  </si>
  <si>
    <t>105年9月25日至9月27日，出席於美國柏克萊舉行的【Cell Symposia-10 years of iPSCs】</t>
  </si>
  <si>
    <t>臺立(LT)國合計畫-研究噬菌體dsRNA的免疫調節特性以及疫苗佐劑潛力_MOST105-2923-B-001-002-MY3</t>
  </si>
  <si>
    <t>進行台、立(陶宛)、拉(脫維亞)三邊會議及學術交流，本跨國合作計畫的三方研究人員在體外細胞試驗和活體小鼠模型兩方面具強而有力的競爭力，在達成計畫研究目標上頗具成功潛力。</t>
  </si>
  <si>
    <t>105/09/28-105/10/03</t>
  </si>
  <si>
    <t>立陶宛(Lithuania)</t>
  </si>
  <si>
    <t>維爾紐斯(Vilnius)</t>
  </si>
  <si>
    <t>應用大數據資料以探究及分析複雜性疾病之致病基因_MOST104-2314-B-001-003</t>
  </si>
  <si>
    <t>105年9月3日至9月6日，出席於新加坡舉行的【ISPOR第七屆泛太平洋會議】</t>
  </si>
  <si>
    <t>105/09/02-105/09/07</t>
  </si>
  <si>
    <t>105年7月18日至7月21日，出席於美國鳳凰城舉行的【Basic Cardiovascular Sciences 2016 Scientific Sessions】</t>
  </si>
  <si>
    <t>105/07/17-105/07/25</t>
  </si>
  <si>
    <t>研究CPEB2基因剔除新生鼠的易死現象-一個與呼吸缺失所引起的新生兒猝死症可能有相關的基因小鼠模型(2/2)_MOST105-2321-B-001-044</t>
  </si>
  <si>
    <t>105年11月10日至11月16日，出席於美國聖地牙哥舉行的【2016美國神經科學會年會及會前會】</t>
  </si>
  <si>
    <t>105/11/10-105/11/29</t>
  </si>
  <si>
    <t>國家型生技醫藥國際合作推動計畫V_MOST105-2325-B-169-001</t>
  </si>
  <si>
    <t>中研院NRPB與日本九州大學共同辦理之聯合研討會</t>
  </si>
  <si>
    <t>105/10/25-105/10/29</t>
  </si>
  <si>
    <t>以化學光遺傳學方法來探討自發性疼痛與誘發性疼痛的神經生物學基礎_MOST105-2320-B-001-018-MY3</t>
  </si>
  <si>
    <t>105年9月26日至9月30日，出席於日本橫濱舉行的【第16屆世界疼痛會議】</t>
  </si>
  <si>
    <t>105/09/25-105/10/01</t>
  </si>
  <si>
    <t>疾病專一性誘導型全能幹細胞之建立鑑定，做為疾病模式與藥物開發之平台---利卵巢疾病與神經退化性疾病_102-2321-B-001-068-MY3</t>
  </si>
  <si>
    <t>105年11月12日至11月17日，出席於美國聖地牙哥舉行的【2016年第46屆神經科學會議】及聖塔芭芭拉舉行的【2016唾液酸醣科學學會年會】</t>
  </si>
  <si>
    <t>105/11/11-105/11/19</t>
  </si>
  <si>
    <t>聖地牙哥(San Diego,California) 聖塔芭芭拉</t>
  </si>
  <si>
    <t>小鼠中樞神經系統調節血糖之功能性迴路探討_105-2320-B-001-003-MY2</t>
  </si>
  <si>
    <t>105年11月11日至11月16日，出席於美國聖地牙哥舉行的【神經科學年會2016】，另順道於11月17日至11月18日至美國帕洛阿爾托參加Inscopix Accelerate Workshop</t>
  </si>
  <si>
    <t>105/11/04-105/11/21</t>
  </si>
  <si>
    <t>帕洛阿爾托 聖地牙哥(San Diego,California)</t>
  </si>
  <si>
    <t>探討PPAR-γ 對抗缺血性腦中風氧化傷害的作用機制_MOST104-2320-B-001-006-MY3</t>
  </si>
  <si>
    <t>105年11月12日至11月16日，出席於美國聖地牙哥舉行的【Neuroscience 2016】</t>
  </si>
  <si>
    <t>105/11/12-105/11/20</t>
  </si>
  <si>
    <t>分析癌症PSPC1過度表現促成癌上皮間質細胞轉型、幹細胞及癌轉移之分子機制_MOST104-2320-B-001-009-MY3</t>
  </si>
  <si>
    <t>105年12月3日至12月7日，出席於美國舊金山舉行的【2016 ASCB 美國細胞生物學會年會】</t>
  </si>
  <si>
    <t>105/12/02-105/12/09</t>
  </si>
  <si>
    <t>模擬生發中心反應生產高親和力GloboH單株抗體用以腫瘤標靶治療(2/3)_MOST105-2321-B-001-049</t>
  </si>
  <si>
    <t>105年12月11日至12月15日，出席於美國聖地牙哥舉行的【抗體工程與治療會議】</t>
  </si>
  <si>
    <t>105/12/08-105/12/20</t>
  </si>
  <si>
    <t>聖地牙哥(San Diego,California) Orange Bothell</t>
  </si>
  <si>
    <t>參加105年10月26日於日本福岡由中研院(NRPB)與日本九州大學共同辦理之雙邊研討會【Academia Sinica (NRPB)-Kyushu University Joint-Symposium】。</t>
  </si>
  <si>
    <t>105/10/25-105/10/26</t>
  </si>
  <si>
    <t>參加中研院(NRPB)與日本九州大學共同辦理之雙邊研討會【Academia Sinica (NRPB)-Kyushu University Joint-Symposium。</t>
  </si>
  <si>
    <t>105年7月18日至7月21日，出席於美國亞利桑那州鳳凰城舉行的【Basic Cardiovascular Sciences 2016 Scientific Sessions】</t>
  </si>
  <si>
    <t>105/07/17-105/07/30</t>
  </si>
  <si>
    <t>參加岡由中研院(NRPB)與日本九州大學共同辦理之雙邊研討會【Academia Sinica (NRPB)-Kyushu University Joint-Symposium】</t>
  </si>
  <si>
    <t>105/10/26-105/10/27</t>
  </si>
  <si>
    <t>研究RBM4經由選擇性剪接對神經生成之影響(2/2) )_MOST105-2321-B-001-046</t>
  </si>
  <si>
    <t>105年9月12日至9月14日，出席於葡萄牙里斯本舉行的【RNA剪接會議】</t>
  </si>
  <si>
    <t>105/09/11-105/09/19</t>
  </si>
  <si>
    <t>葡萄牙(Portugal)</t>
  </si>
  <si>
    <t>臺灣小鼠診所--國家綜合小鼠表現型暨藥效分析中心VI_MOST105-2325-B-001-010</t>
  </si>
  <si>
    <t>105年11月12日至11月16日，出席於美國聖地牙哥舉行的【2016年第46屆神經科學會議】</t>
  </si>
  <si>
    <t>醣科學專案規劃推動計畫_MOST105-2321-B-001-056</t>
  </si>
  <si>
    <t>105年11月27日至12月1日，出席於法國舉行的【EMBO Workshop: Transducing glycan information into function: Lessons from galectins】</t>
  </si>
  <si>
    <t>105/11/26-105/12/02</t>
  </si>
  <si>
    <t>Mandelieu-la-Napoule</t>
  </si>
  <si>
    <t>105年11月12日至105年11月16日，出席於美國聖地牙哥舉行的【神經科學年會2016 】，另順道於11月17日至11月18日至美國帕洛阿爾托參加Inscopix Accelerate Workshop</t>
  </si>
  <si>
    <t>105/11/09-105/11/21</t>
  </si>
  <si>
    <t>帕洛阿爾托(Palo Alto,California) 聖地牙哥(San Diego,California)</t>
  </si>
  <si>
    <t>105/09/22-105/10/04</t>
  </si>
  <si>
    <t>105年11月12日至11月15日，出席於德國海德堡舉行的【EMBO Conference: From Functional Genomics to Systems Biology】</t>
  </si>
  <si>
    <t>105年11月14日至11月17日，出席於美國加州聖塔芭芭拉舉行的【2016唾液酸醣科學年會】</t>
  </si>
  <si>
    <t>105/11/10-105/11/22</t>
  </si>
  <si>
    <t>聖塔芭芭拉</t>
  </si>
  <si>
    <t>105年12月3日至12月7日，出席於美國舊金山舉行的【2016美國細胞生物學會年會】</t>
  </si>
  <si>
    <t>105/12/01-105/12/10</t>
  </si>
  <si>
    <t>105年6月1日至6月5日，出席於美國冷泉港舉行的【Targeting Cancer: 81st Cold Spring Harbor Symposium 2016】</t>
  </si>
  <si>
    <t>105/05/29-105/06/14</t>
  </si>
  <si>
    <t>Cold Spring Harbor</t>
  </si>
  <si>
    <t>105年5月1日至5月4日，出席於加拿大溫哥華舉行的【第13屆肥胖國際學術研討會】</t>
  </si>
  <si>
    <t>105/04/30-105/05/10</t>
  </si>
  <si>
    <t>加拿大(Canada) 美國(U.S.A.)</t>
  </si>
  <si>
    <t>溫哥華(Vancouver)(05/01-10/15) 洛杉磯(Los Angeles,California)</t>
  </si>
  <si>
    <t>105年11月29日至12月2日，出席於德國慕尼黑舉行的【28th EORTC-NCI-AACR symposium on “Molecular Targets and Cancer Therapeutics”】</t>
  </si>
  <si>
    <t>105/11/17-105/12/04</t>
  </si>
  <si>
    <t>105年11月10日至11月16日，出席於美國聖地牙哥舉行的【2016美國神經科學學會年會及會前會】</t>
  </si>
  <si>
    <t>105/11/03-105/11/19</t>
  </si>
  <si>
    <t>105年8月21日至8月26日，出席於澳洲墨爾本舉行的【2016年免疫學國際大會】</t>
  </si>
  <si>
    <t>105年11月19日至11月22日，出席於美國紐奧良舉行的【2016美國醣生物學會年會】，另於11月18日及11月23日順道前往加州大學戴維斯分校洽談學術合作事宜</t>
  </si>
  <si>
    <t>105/11/17-105/11/23</t>
  </si>
  <si>
    <t>紐奧良(New Orleans, Louisiana) Davis, CA</t>
  </si>
  <si>
    <t>105年12月9日至12月11日，出席於日本仙台舉行的【日本研究皮膚科學會第41屆年會】</t>
  </si>
  <si>
    <t>105/12/08-105/12/11</t>
  </si>
  <si>
    <t>105年5月11日至5月17日，出席於美國亞利桑納州Scottsdale及華盛頓州西雅圖舉行的【第75屆美國研究皮膚科學會年會】及【第16屆國際免疫學研討會】，並順道於5月9日至5月10日及5月17日至5月18日，順道至美國UcDavis洽談學術合作事宜。</t>
  </si>
  <si>
    <t>105/05/07-105/05/19</t>
  </si>
  <si>
    <t>Scottsdale UcDavis 西雅圖(Seattle,Washington)</t>
  </si>
  <si>
    <t>105年8月3日至8月6日，出席於美國劍橋市舉行的【HD2016: “The Milton Wexler Celebration of Life”】</t>
  </si>
  <si>
    <t>105/08/02-105/08/08</t>
  </si>
  <si>
    <t>105年6月27日至6月30日，出席於愛爾蘭都伯林舉行的【第12屆代謝體學會年會暨國際研討會】</t>
  </si>
  <si>
    <t>105/06/26-105/07/06</t>
  </si>
  <si>
    <t>愛爾蘭(Ireland)</t>
  </si>
  <si>
    <t>都伯林(Dublin)</t>
  </si>
  <si>
    <t>105年7月18日至7月21日，出席於美國鳳鳯城舉行的【基礎心臟血管科學研討會】</t>
  </si>
  <si>
    <t>105/07/14-105/07/23</t>
  </si>
  <si>
    <t>105年9月7日至9月10日，出席於美國紐約舉行的【The World Molecular Imaginm Congress 2016】</t>
  </si>
  <si>
    <t>105/09/02-105/09/20</t>
  </si>
  <si>
    <t>105年1月20日至1月22日出席於日本京都舉行的【The 7th Japan-Taiwan Symposium on NanomedicineInternational】</t>
  </si>
  <si>
    <t>105年11月12日至11月16日，出席於美國紐奧良舉行的【American Heart Association Scientific Sessions 2016】</t>
  </si>
  <si>
    <t>105/11/11-105/11/22</t>
  </si>
  <si>
    <t>105年11月19日至11月22日，出席於美國紐奧良舉行的【2016醣生物學會年會】</t>
  </si>
  <si>
    <t>105/11/18-105/11/30</t>
  </si>
  <si>
    <t>105/11/18-105/11/25</t>
  </si>
  <si>
    <t>105年11月16日至11月19日，出席於美國舊金山舉行的【SfRBM/SFRRI 2016】</t>
  </si>
  <si>
    <t>105/11/11-105/12/03</t>
  </si>
  <si>
    <t>105年8月16日至8月18日，於南投日月潭舉行的【第六屆B細胞及自身免疫國際研討會】</t>
  </si>
  <si>
    <t>105/08/14-105/09/01</t>
  </si>
  <si>
    <t>Davis</t>
  </si>
  <si>
    <t>105年11月12日至11月16日，出席於美國聖地牙哥舉行的【Neurosciences 2016】</t>
  </si>
  <si>
    <t>Dr.潘文涵結餘款再運用計畫。</t>
  </si>
  <si>
    <t>105年10月19日於新加坡舉行之【Singapore Leaders of Tomorrow (SLoT) Forum】。</t>
  </si>
  <si>
    <t>105/10/17-105/10/24</t>
  </si>
  <si>
    <t>105年6月27日至6月30日，出席於愛爾蘭都伯林舉行的【第12屆代謝組學年會】</t>
  </si>
  <si>
    <t>傑出人才發展基金會補助柯泰名出席國際會議費用未申請因公出國系統</t>
  </si>
  <si>
    <t>異位性皮膚炎，皮膚微生物群和短鏈脂肪酸－探討第二型先天性淋巴細胞與皮膚常在菌所生成之短鏈脂肪酸在異位性皮膚炎中所扮演之角_MOST105-2320-B-001-001</t>
  </si>
  <si>
    <r>
      <rPr>
        <sz val="8"/>
        <color indexed="8"/>
        <rFont val="細明體"/>
        <family val="3"/>
      </rPr>
      <t>未列入</t>
    </r>
    <r>
      <rPr>
        <sz val="8"/>
        <color indexed="8"/>
        <rFont val="Calibri"/>
        <family val="2"/>
      </rPr>
      <t>105</t>
    </r>
    <r>
      <rPr>
        <sz val="8"/>
        <color indexed="8"/>
        <rFont val="細明體"/>
        <family val="3"/>
      </rPr>
      <t>年度應付款，已發文核備入</t>
    </r>
    <r>
      <rPr>
        <sz val="8"/>
        <color indexed="8"/>
        <rFont val="Calibri"/>
        <family val="2"/>
      </rPr>
      <t>106</t>
    </r>
    <r>
      <rPr>
        <sz val="8"/>
        <color indexed="8"/>
        <rFont val="細明體"/>
        <family val="3"/>
      </rPr>
      <t>年核銷</t>
    </r>
  </si>
  <si>
    <r>
      <t xml:space="preserve">00029507
</t>
    </r>
    <r>
      <rPr>
        <sz val="8.5"/>
        <color indexed="8"/>
        <rFont val="細明體"/>
        <family val="3"/>
      </rPr>
      <t>因研究工作繁忙致報告延遲繳交</t>
    </r>
  </si>
  <si>
    <t>105年6月19日至6月21日，出席於加拿大多倫多舉行的【The 10th International Symposium on Glycosyltransferases】</t>
  </si>
  <si>
    <t>105/06/17-105/06/24</t>
  </si>
  <si>
    <t>105年8月21日至8月26日，出席於日本京都舉行的【第27屆國際生物系統磁共振研討會】</t>
  </si>
  <si>
    <t>105/08/20-105/08/28</t>
  </si>
  <si>
    <t>臺灣人體生物資料庫博士後研究張中科先生擬於105.3.21-24(3/22休假)前往韓國清州巿五松參訪National Biobank of Korea, 並討論合作事宜。</t>
  </si>
  <si>
    <t>105/03/21-105/03/24</t>
  </si>
  <si>
    <t>清州(Chongju)</t>
  </si>
  <si>
    <t>臺灣人體生物資料庫研究助理吳佩怡擬於105.1.22-1.24前往日本鳥取縣米子巿, 與日本疫學會學術總會會長等人士討論雙方Cohort studies相互合作和資源分享等事宜</t>
  </si>
  <si>
    <t>105/01/22-105/01/24</t>
  </si>
  <si>
    <t>鳥取縣米子巿</t>
  </si>
  <si>
    <t>105年3月29日至4月2日，出席於日本京都舉行的【Kyoto Course on Bioinformatics】</t>
  </si>
  <si>
    <t>臺灣人體生物資料庫約聘助理田逸晴小姐擬於105.3.21-24(3/22休假)前往韓國清州巿五松參訪National Biobank of Korea, 並討論合作事宜。</t>
  </si>
  <si>
    <t>前往馬來西亞沙巴參加BCAC工作會議, 以汲取參與國際聯盟之經驗, 此行對於未來進行基因型鑑定之規劃, 將可提供重要之參考。</t>
  </si>
  <si>
    <t>105/04/08-105/04/13</t>
  </si>
  <si>
    <t>105年1月22日至1月23日出席於日本鳥取縣舉行的【第26屆日本流行病學年會】</t>
  </si>
  <si>
    <t>鳥取縣米子市</t>
  </si>
  <si>
    <t>本所研究員沈志陽博士擬於105.3.21-24(3/22休假)前往韓國清州巿五松參訪National Biobank of Korea, 並討論合作事宜。</t>
  </si>
  <si>
    <t>105年5月21日至5月24日，出席於西班牙巴塞隆納舉行的【The European Human Genetics Conference 2016】</t>
  </si>
  <si>
    <t>105/05/19-105/05/26</t>
  </si>
  <si>
    <t>與日本仙台東北大學ToMMo進行前瞻性學術交流; 並與東京大學洽談建立亞洲HLA圖譜之合作事宜。</t>
  </si>
  <si>
    <t>105/07/14-105/07/19</t>
  </si>
  <si>
    <t>仙台 東京(Tokyo)</t>
  </si>
  <si>
    <t>參加本院與美國國家癌症研究院(NCI)雙邊合作會議，進行合作計畫之可行性評估及資料檢體之品質控管等討論。</t>
  </si>
  <si>
    <t>105/06/30-105/07/04</t>
  </si>
  <si>
    <t>前往美國華盛頓特區參加本院與美國國家癌症研究院(NCI)雙邊合作會議，進行合作計畫之可行性討論。</t>
  </si>
  <si>
    <t>105/06/30-105/07/08</t>
  </si>
  <si>
    <t>105年5月27日至5月31日，出席於克羅埃西亞舉行的【EMBO Conference focusing on Cellular signalling and Cancer therapy】</t>
  </si>
  <si>
    <t>105/05/23-105/06/03</t>
  </si>
  <si>
    <t>Cavtat</t>
  </si>
  <si>
    <t>105年6月27日至6月28日，出席於法國巴黎舉行的【WIN Symposium 2016】</t>
  </si>
  <si>
    <t>105年6月27日至6月30日，出席於愛爾蘭都伯林舉行的【第12屆代謝體學學會年會】</t>
  </si>
  <si>
    <t>前日本仙台東北大學ToMMo研究, 透過常見高血脂、高血壓與糖尿病的基因體分析, 進行前瞻性學術交流。</t>
  </si>
  <si>
    <t>105/07/14-105/07/17</t>
  </si>
  <si>
    <t>105年9月13日至9月16日，出席於奧地利維也納舉行的【Europe Biobank Week】</t>
  </si>
  <si>
    <t>105/09/11-105/09/18</t>
  </si>
  <si>
    <t>105年10月18日至10月22日，出席於加拿大溫哥華舉行的【美國人類遺傳學會年會】</t>
  </si>
  <si>
    <t>前往日本琦玉進行【4度C全自動高效率檢體儲存系統】採購案出廠前測試事宜。</t>
  </si>
  <si>
    <t>105/10/12-105/10/14</t>
  </si>
  <si>
    <t>埼玉</t>
  </si>
  <si>
    <t>105/10/16-105/10/26</t>
  </si>
  <si>
    <t>出席新加坡【亞洲世代研究工作聯盟(ACC)工作會議】。Taiwan Biobank為ACC成員之一，ACC每半年召開之工作會議，對於Taiwan Biobank未來規劃，可提供重要之參考。</t>
  </si>
  <si>
    <t>105/09/27-105/09/30</t>
  </si>
  <si>
    <t>105年12月3日至12月7日，出席於美國舊金山舉行的【美國細胞生物學學會年會】</t>
  </si>
  <si>
    <t>香港 廣東</t>
  </si>
  <si>
    <r>
      <t xml:space="preserve">00026881
</t>
    </r>
    <r>
      <rPr>
        <sz val="8.5"/>
        <color indexed="8"/>
        <rFont val="細明體"/>
        <family val="3"/>
      </rPr>
      <t>計畫尚未到期，報告尚未繳交</t>
    </r>
  </si>
  <si>
    <r>
      <t xml:space="preserve">00027723
</t>
    </r>
    <r>
      <rPr>
        <sz val="8.5"/>
        <color indexed="8"/>
        <rFont val="細明體"/>
        <family val="3"/>
      </rPr>
      <t>計畫尚未到期，報告尚未繳交</t>
    </r>
  </si>
  <si>
    <r>
      <t xml:space="preserve">00029178
</t>
    </r>
    <r>
      <rPr>
        <sz val="8.5"/>
        <color indexed="8"/>
        <rFont val="細明體"/>
        <family val="3"/>
      </rPr>
      <t>計畫尚未到期，報告尚未繳交</t>
    </r>
  </si>
  <si>
    <r>
      <t xml:space="preserve">00029222
</t>
    </r>
    <r>
      <rPr>
        <sz val="8.5"/>
        <color indexed="8"/>
        <rFont val="細明體"/>
        <family val="3"/>
      </rPr>
      <t>計畫尚未到期，報告尚未繳交</t>
    </r>
  </si>
  <si>
    <r>
      <t xml:space="preserve">00029370
</t>
    </r>
    <r>
      <rPr>
        <sz val="8.5"/>
        <color indexed="8"/>
        <rFont val="細明體"/>
        <family val="3"/>
      </rPr>
      <t>計畫尚未到期，報告尚未繳交</t>
    </r>
  </si>
  <si>
    <r>
      <t xml:space="preserve">00031572
</t>
    </r>
    <r>
      <rPr>
        <sz val="8.5"/>
        <color indexed="8"/>
        <rFont val="細明體"/>
        <family val="3"/>
      </rPr>
      <t>計畫尚未到期，報告尚未繳交</t>
    </r>
  </si>
  <si>
    <r>
      <t xml:space="preserve">00032468
</t>
    </r>
    <r>
      <rPr>
        <sz val="8.5"/>
        <color indexed="8"/>
        <rFont val="細明體"/>
        <family val="3"/>
      </rPr>
      <t>計畫尚未到期，報告尚未繳交</t>
    </r>
  </si>
  <si>
    <r>
      <t xml:space="preserve">00028669
</t>
    </r>
    <r>
      <rPr>
        <sz val="8.5"/>
        <color indexed="8"/>
        <rFont val="細明體"/>
        <family val="3"/>
      </rPr>
      <t>計畫尚未到期，報告尚未繳交</t>
    </r>
  </si>
  <si>
    <r>
      <t xml:space="preserve">00029291
</t>
    </r>
    <r>
      <rPr>
        <sz val="8.5"/>
        <color indexed="8"/>
        <rFont val="細明體"/>
        <family val="3"/>
      </rPr>
      <t>計畫尚未到期，報告尚未繳交</t>
    </r>
  </si>
  <si>
    <r>
      <t xml:space="preserve">00029171
</t>
    </r>
    <r>
      <rPr>
        <sz val="8.5"/>
        <color indexed="8"/>
        <rFont val="細明體"/>
        <family val="3"/>
      </rPr>
      <t>計畫尚未到期，報告尚未繳交</t>
    </r>
  </si>
  <si>
    <t>00029483
計畫尚未到期，報告尚未繳交</t>
  </si>
  <si>
    <t>00030575
計畫尚未到期，報告尚未繳交</t>
  </si>
  <si>
    <r>
      <t xml:space="preserve">00028649
</t>
    </r>
    <r>
      <rPr>
        <sz val="8.5"/>
        <color indexed="8"/>
        <rFont val="細明體"/>
        <family val="3"/>
      </rPr>
      <t>計畫尚未到期，報告尚未繳交</t>
    </r>
  </si>
  <si>
    <r>
      <t xml:space="preserve">00029615
</t>
    </r>
    <r>
      <rPr>
        <sz val="6"/>
        <color indexed="8"/>
        <rFont val="細明體"/>
        <family val="3"/>
      </rPr>
      <t>本計畫國外差旅費共</t>
    </r>
    <r>
      <rPr>
        <sz val="6"/>
        <color indexed="8"/>
        <rFont val="Calibri"/>
        <family val="2"/>
      </rPr>
      <t>NTD80,000,</t>
    </r>
    <r>
      <rPr>
        <sz val="6"/>
        <color indexed="8"/>
        <rFont val="細明體"/>
        <family val="3"/>
      </rPr>
      <t>共同主持人</t>
    </r>
    <r>
      <rPr>
        <sz val="6"/>
        <color indexed="8"/>
        <rFont val="Calibri"/>
        <family val="2"/>
      </rPr>
      <t>-</t>
    </r>
    <r>
      <rPr>
        <sz val="6"/>
        <color indexed="8"/>
        <rFont val="細明體"/>
        <family val="3"/>
      </rPr>
      <t>中研院環境變遷中心林傳堯研究員將同時出席及發表論文</t>
    </r>
    <r>
      <rPr>
        <sz val="6"/>
        <color indexed="8"/>
        <rFont val="Calibri"/>
        <family val="2"/>
      </rPr>
      <t>,</t>
    </r>
    <r>
      <rPr>
        <sz val="6"/>
        <color indexed="8"/>
        <rFont val="細明體"/>
        <family val="3"/>
      </rPr>
      <t>林員預計申請補助差旅費</t>
    </r>
    <r>
      <rPr>
        <sz val="6"/>
        <color indexed="8"/>
        <rFont val="Calibri"/>
        <family val="2"/>
      </rPr>
      <t>42,000,</t>
    </r>
    <r>
      <rPr>
        <sz val="6"/>
        <color indexed="8"/>
        <rFont val="細明體"/>
        <family val="3"/>
      </rPr>
      <t>林傳堯研究員預計申請補助差旅費</t>
    </r>
    <r>
      <rPr>
        <sz val="6"/>
        <color indexed="8"/>
        <rFont val="Calibri"/>
        <family val="2"/>
      </rPr>
      <t>NTD38,000</t>
    </r>
  </si>
  <si>
    <r>
      <t xml:space="preserve">00029958
</t>
    </r>
    <r>
      <rPr>
        <sz val="6"/>
        <color indexed="8"/>
        <rFont val="細明體"/>
        <family val="3"/>
      </rPr>
      <t>本計畫國外差旅費共</t>
    </r>
    <r>
      <rPr>
        <sz val="6"/>
        <color indexed="8"/>
        <rFont val="Calibri"/>
        <family val="2"/>
      </rPr>
      <t>NTD80,000,</t>
    </r>
    <r>
      <rPr>
        <sz val="6"/>
        <color indexed="8"/>
        <rFont val="細明體"/>
        <family val="3"/>
      </rPr>
      <t>主持人</t>
    </r>
    <r>
      <rPr>
        <sz val="6"/>
        <color indexed="8"/>
        <rFont val="Calibri"/>
        <family val="2"/>
      </rPr>
      <t>-</t>
    </r>
    <r>
      <rPr>
        <sz val="6"/>
        <color indexed="8"/>
        <rFont val="細明體"/>
        <family val="3"/>
      </rPr>
      <t>中研院物理所林誠謙副研究員將同時出席及發表論文</t>
    </r>
    <r>
      <rPr>
        <sz val="6"/>
        <color indexed="8"/>
        <rFont val="Calibri"/>
        <family val="2"/>
      </rPr>
      <t>,</t>
    </r>
    <r>
      <rPr>
        <sz val="6"/>
        <color indexed="8"/>
        <rFont val="細明體"/>
        <family val="3"/>
      </rPr>
      <t>林員預計申請補助差旅費</t>
    </r>
    <r>
      <rPr>
        <sz val="6"/>
        <color indexed="8"/>
        <rFont val="Calibri"/>
        <family val="2"/>
      </rPr>
      <t>38,000,</t>
    </r>
    <r>
      <rPr>
        <sz val="6"/>
        <color indexed="8"/>
        <rFont val="細明體"/>
        <family val="3"/>
      </rPr>
      <t>林誠謙副研究員</t>
    </r>
    <r>
      <rPr>
        <sz val="6"/>
        <color indexed="8"/>
        <rFont val="Calibri"/>
        <family val="2"/>
      </rPr>
      <t xml:space="preserve"> </t>
    </r>
    <r>
      <rPr>
        <sz val="6"/>
        <color indexed="8"/>
        <rFont val="細明體"/>
        <family val="3"/>
      </rPr>
      <t>預計申請補助差旅費</t>
    </r>
    <r>
      <rPr>
        <sz val="6"/>
        <color indexed="8"/>
        <rFont val="Calibri"/>
        <family val="2"/>
      </rPr>
      <t>NTD42,000</t>
    </r>
  </si>
  <si>
    <t>00027361
計畫尚未到期，報告尚未繳交</t>
  </si>
  <si>
    <r>
      <t xml:space="preserve">00030298
</t>
    </r>
    <r>
      <rPr>
        <sz val="8.5"/>
        <color indexed="8"/>
        <rFont val="細明體"/>
        <family val="3"/>
      </rPr>
      <t>計畫尚未到期，報告尚未繳交</t>
    </r>
  </si>
  <si>
    <r>
      <t xml:space="preserve">00030537
</t>
    </r>
    <r>
      <rPr>
        <sz val="8.5"/>
        <color indexed="8"/>
        <rFont val="細明體"/>
        <family val="3"/>
      </rPr>
      <t>計畫尚未到期，報告尚未繳交</t>
    </r>
  </si>
  <si>
    <r>
      <t xml:space="preserve">00032268
</t>
    </r>
    <r>
      <rPr>
        <sz val="8.5"/>
        <color indexed="8"/>
        <rFont val="細明體"/>
        <family val="3"/>
      </rPr>
      <t>計畫尚未到期，報告尚未繳交</t>
    </r>
  </si>
  <si>
    <r>
      <t xml:space="preserve">00032103
</t>
    </r>
    <r>
      <rPr>
        <sz val="8.5"/>
        <color indexed="8"/>
        <rFont val="細明體"/>
        <family val="3"/>
      </rPr>
      <t>計畫尚未到期，報告尚未繳交</t>
    </r>
  </si>
  <si>
    <r>
      <t xml:space="preserve">00031400
</t>
    </r>
    <r>
      <rPr>
        <sz val="8.5"/>
        <color indexed="8"/>
        <rFont val="細明體"/>
        <family val="3"/>
      </rPr>
      <t>計畫尚未到期，報告尚未繳交</t>
    </r>
  </si>
  <si>
    <r>
      <t xml:space="preserve">00030521
</t>
    </r>
    <r>
      <rPr>
        <sz val="8.5"/>
        <color indexed="8"/>
        <rFont val="細明體"/>
        <family val="3"/>
      </rPr>
      <t>計畫尚未到期，報告尚未繳交</t>
    </r>
  </si>
  <si>
    <r>
      <t xml:space="preserve">00030533
</t>
    </r>
    <r>
      <rPr>
        <sz val="8.5"/>
        <color indexed="8"/>
        <rFont val="細明體"/>
        <family val="3"/>
      </rPr>
      <t>計畫尚未到期，報告尚未繳交</t>
    </r>
  </si>
  <si>
    <r>
      <t xml:space="preserve">00030529
</t>
    </r>
    <r>
      <rPr>
        <sz val="8.5"/>
        <color indexed="8"/>
        <rFont val="細明體"/>
        <family val="3"/>
      </rPr>
      <t>計畫尚未到期，報告尚未繳交</t>
    </r>
  </si>
  <si>
    <r>
      <t xml:space="preserve">00030531
</t>
    </r>
    <r>
      <rPr>
        <sz val="8.5"/>
        <color indexed="8"/>
        <rFont val="細明體"/>
        <family val="3"/>
      </rPr>
      <t>計畫尚未到期，報告尚未繳交</t>
    </r>
  </si>
  <si>
    <r>
      <t xml:space="preserve">00030466
</t>
    </r>
    <r>
      <rPr>
        <sz val="8.5"/>
        <color indexed="8"/>
        <rFont val="細明體"/>
        <family val="3"/>
      </rPr>
      <t>計畫尚未到期，報告尚未繳交</t>
    </r>
  </si>
  <si>
    <r>
      <t xml:space="preserve">00032920
</t>
    </r>
    <r>
      <rPr>
        <sz val="8.5"/>
        <color indexed="8"/>
        <rFont val="細明體"/>
        <family val="3"/>
      </rPr>
      <t>計畫尚未到期，報告尚未繳交</t>
    </r>
  </si>
  <si>
    <t>此筆重覆。(請主計室調整總帳時此筆重覆)</t>
  </si>
  <si>
    <t>00028379
此筆重覆。(請主計室調整總帳時此筆重覆)</t>
  </si>
  <si>
    <r>
      <t xml:space="preserve">00026289
</t>
    </r>
    <r>
      <rPr>
        <sz val="8"/>
        <color indexed="8"/>
        <rFont val="細明體"/>
        <family val="3"/>
      </rPr>
      <t>此筆重覆。</t>
    </r>
    <r>
      <rPr>
        <sz val="8"/>
        <color indexed="8"/>
        <rFont val="Calibri"/>
        <family val="2"/>
      </rPr>
      <t>(</t>
    </r>
    <r>
      <rPr>
        <sz val="8"/>
        <color indexed="8"/>
        <rFont val="細明體"/>
        <family val="3"/>
      </rPr>
      <t>請主計室調整總帳時此筆重覆</t>
    </r>
    <r>
      <rPr>
        <sz val="8"/>
        <color indexed="8"/>
        <rFont val="Calibri"/>
        <family val="2"/>
      </rPr>
      <t>)</t>
    </r>
  </si>
  <si>
    <t>研究員周家復先生擬於105年12月12日至105年12月20日赴Universidad de Costa Rica參加Symposium on Advanced Materials Science and Nanotechnology 2016), SCiMAN2016並成邀請講者與赴Universidad de Costa Rica進行學術交流研究。</t>
  </si>
  <si>
    <t>聖荷西(San Jose)</t>
  </si>
  <si>
    <t>科技部補助編號：105-2914-I-001-019-A1</t>
  </si>
  <si>
    <t>博士後楊登凱先生擬於105年05月20日至105年05月31日赴瑞典Gothenburg參加Biosensors 2016並發表論文。</t>
  </si>
  <si>
    <t>105/05/20-105/05/31</t>
  </si>
  <si>
    <t>上海理工大學參與「第三屆堆積問題國際會議」</t>
  </si>
  <si>
    <t>105/08/20-105/08/30</t>
  </si>
  <si>
    <r>
      <t>00030583
105</t>
    </r>
    <r>
      <rPr>
        <sz val="10"/>
        <color indexed="8"/>
        <rFont val="細明體"/>
        <family val="3"/>
      </rPr>
      <t>年度帳務列在國外旅費</t>
    </r>
  </si>
  <si>
    <t>參加Gordon Research Seminar與Gordon Research Conference並發表論文。</t>
  </si>
  <si>
    <t>105/07/03-105/07/08</t>
  </si>
  <si>
    <r>
      <t xml:space="preserve">00030615
</t>
    </r>
    <r>
      <rPr>
        <sz val="8.5"/>
        <color indexed="8"/>
        <rFont val="細明體"/>
        <family val="3"/>
      </rPr>
      <t>計畫尚未到期，報告尚未繳交</t>
    </r>
  </si>
  <si>
    <r>
      <t xml:space="preserve">00030238
</t>
    </r>
    <r>
      <rPr>
        <sz val="8.5"/>
        <color indexed="8"/>
        <rFont val="細明體"/>
        <family val="3"/>
      </rPr>
      <t>計畫尚未到期，報告尚未繳交</t>
    </r>
  </si>
  <si>
    <r>
      <t xml:space="preserve">00031280
</t>
    </r>
    <r>
      <rPr>
        <sz val="8.5"/>
        <color indexed="8"/>
        <rFont val="細明體"/>
        <family val="3"/>
      </rPr>
      <t>計畫尚未到期，報告尚未繳交</t>
    </r>
  </si>
  <si>
    <r>
      <t xml:space="preserve">00031707
</t>
    </r>
    <r>
      <rPr>
        <sz val="8.5"/>
        <color indexed="8"/>
        <rFont val="細明體"/>
        <family val="3"/>
      </rPr>
      <t>計畫尚未到期，報告尚未繳交</t>
    </r>
  </si>
  <si>
    <r>
      <t xml:space="preserve">00031390
</t>
    </r>
    <r>
      <rPr>
        <sz val="8.5"/>
        <color indexed="8"/>
        <rFont val="細明體"/>
        <family val="3"/>
      </rPr>
      <t>計畫尚未到期，報告尚未繳交</t>
    </r>
  </si>
  <si>
    <r>
      <t xml:space="preserve">00026851
</t>
    </r>
    <r>
      <rPr>
        <sz val="8.5"/>
        <color indexed="8"/>
        <rFont val="細明體"/>
        <family val="3"/>
      </rPr>
      <t>計畫尚未到期，報告尚未繳交</t>
    </r>
  </si>
  <si>
    <r>
      <t xml:space="preserve">00032955
</t>
    </r>
    <r>
      <rPr>
        <sz val="8.5"/>
        <color indexed="8"/>
        <rFont val="細明體"/>
        <family val="3"/>
      </rPr>
      <t>計畫尚未到期，報告尚未繳交</t>
    </r>
  </si>
  <si>
    <r>
      <t xml:space="preserve">00031556
</t>
    </r>
    <r>
      <rPr>
        <sz val="8.5"/>
        <color indexed="8"/>
        <rFont val="細明體"/>
        <family val="3"/>
      </rPr>
      <t>計畫尚未到期，報告尚未繳交</t>
    </r>
  </si>
  <si>
    <r>
      <t xml:space="preserve">00031341
</t>
    </r>
    <r>
      <rPr>
        <sz val="8.5"/>
        <color indexed="8"/>
        <rFont val="細明體"/>
        <family val="3"/>
      </rPr>
      <t>計畫尚未到期，報告尚未繳交</t>
    </r>
  </si>
  <si>
    <r>
      <t xml:space="preserve">00026400
</t>
    </r>
    <r>
      <rPr>
        <sz val="8.5"/>
        <color indexed="8"/>
        <rFont val="細明體"/>
        <family val="3"/>
      </rPr>
      <t>計畫尚未到期，報告尚未繳交</t>
    </r>
  </si>
  <si>
    <r>
      <t xml:space="preserve">00031941
</t>
    </r>
    <r>
      <rPr>
        <sz val="8.5"/>
        <color indexed="8"/>
        <rFont val="細明體"/>
        <family val="3"/>
      </rPr>
      <t>計畫尚未到期，報告尚未繳交</t>
    </r>
  </si>
  <si>
    <r>
      <t xml:space="preserve">00031152
</t>
    </r>
    <r>
      <rPr>
        <sz val="8.5"/>
        <color indexed="8"/>
        <rFont val="細明體"/>
        <family val="3"/>
      </rPr>
      <t>計畫尚未到期，報告尚未繳交</t>
    </r>
  </si>
  <si>
    <r>
      <t xml:space="preserve">00024263
</t>
    </r>
    <r>
      <rPr>
        <sz val="8.5"/>
        <color indexed="8"/>
        <rFont val="細明體"/>
        <family val="3"/>
      </rPr>
      <t>計畫尚未到期，報告尚未繳交</t>
    </r>
  </si>
  <si>
    <r>
      <t xml:space="preserve">00032467
</t>
    </r>
    <r>
      <rPr>
        <sz val="8.5"/>
        <color indexed="8"/>
        <rFont val="細明體"/>
        <family val="3"/>
      </rPr>
      <t>擬由</t>
    </r>
    <r>
      <rPr>
        <sz val="8.5"/>
        <color indexed="8"/>
        <rFont val="Calibri"/>
        <family val="2"/>
      </rPr>
      <t>104</t>
    </r>
    <r>
      <rPr>
        <sz val="8.5"/>
        <color indexed="8"/>
        <rFont val="細明體"/>
        <family val="3"/>
      </rPr>
      <t>年度科技部專題研究計畫國外差旅費項下</t>
    </r>
    <r>
      <rPr>
        <sz val="8.5"/>
        <color indexed="8"/>
        <rFont val="Calibri"/>
        <family val="2"/>
      </rPr>
      <t>(314030)</t>
    </r>
    <r>
      <rPr>
        <sz val="8.5"/>
        <color indexed="8"/>
        <rFont val="細明體"/>
        <family val="3"/>
      </rPr>
      <t>支應</t>
    </r>
  </si>
  <si>
    <r>
      <t xml:space="preserve">00029147
</t>
    </r>
    <r>
      <rPr>
        <sz val="8.5"/>
        <color indexed="8"/>
        <rFont val="細明體"/>
        <family val="3"/>
      </rPr>
      <t>計畫尚未到期，報告尚未繳交</t>
    </r>
  </si>
  <si>
    <r>
      <t xml:space="preserve">00027652
</t>
    </r>
    <r>
      <rPr>
        <sz val="8.5"/>
        <color indexed="8"/>
        <rFont val="細明體"/>
        <family val="3"/>
      </rPr>
      <t>計畫尚未到期，報告尚未繳交</t>
    </r>
  </si>
  <si>
    <r>
      <t xml:space="preserve">00027476
</t>
    </r>
    <r>
      <rPr>
        <sz val="8.5"/>
        <color indexed="8"/>
        <rFont val="細明體"/>
        <family val="3"/>
      </rPr>
      <t>計畫尚未到期，報告尚未繳交</t>
    </r>
  </si>
  <si>
    <r>
      <t xml:space="preserve">00026161
</t>
    </r>
    <r>
      <rPr>
        <sz val="8.5"/>
        <color indexed="8"/>
        <rFont val="細明體"/>
        <family val="3"/>
      </rPr>
      <t>計畫尚未到期，報告尚未繳交</t>
    </r>
  </si>
  <si>
    <r>
      <t xml:space="preserve">00023669
</t>
    </r>
    <r>
      <rPr>
        <sz val="8.5"/>
        <color indexed="8"/>
        <rFont val="細明體"/>
        <family val="3"/>
      </rPr>
      <t>計畫尚未到期，報告尚未繳交</t>
    </r>
  </si>
  <si>
    <r>
      <t xml:space="preserve">00027568
</t>
    </r>
    <r>
      <rPr>
        <sz val="8.5"/>
        <color indexed="8"/>
        <rFont val="細明體"/>
        <family val="3"/>
      </rPr>
      <t>計畫尚未到期，報告尚未繳交</t>
    </r>
  </si>
  <si>
    <r>
      <t xml:space="preserve">00027375
</t>
    </r>
    <r>
      <rPr>
        <sz val="8.5"/>
        <color indexed="8"/>
        <rFont val="細明體"/>
        <family val="3"/>
      </rPr>
      <t>計畫尚未到期，報告尚未繳交</t>
    </r>
  </si>
  <si>
    <r>
      <t xml:space="preserve">00027796
</t>
    </r>
    <r>
      <rPr>
        <sz val="8.5"/>
        <color indexed="8"/>
        <rFont val="細明體"/>
        <family val="3"/>
      </rPr>
      <t>計畫尚未到期，報告尚未繳交</t>
    </r>
  </si>
  <si>
    <r>
      <t xml:space="preserve">00027139
</t>
    </r>
    <r>
      <rPr>
        <sz val="7"/>
        <color indexed="8"/>
        <rFont val="細明體"/>
        <family val="3"/>
      </rPr>
      <t>擬由</t>
    </r>
    <r>
      <rPr>
        <sz val="7"/>
        <color indexed="8"/>
        <rFont val="Calibri"/>
        <family val="2"/>
      </rPr>
      <t>104</t>
    </r>
    <r>
      <rPr>
        <sz val="7"/>
        <color indexed="8"/>
        <rFont val="細明體"/>
        <family val="3"/>
      </rPr>
      <t>年度科技部專題研究計畫國外差旅費項下</t>
    </r>
    <r>
      <rPr>
        <sz val="7"/>
        <color indexed="8"/>
        <rFont val="Calibri"/>
        <family val="2"/>
      </rPr>
      <t>(314030)</t>
    </r>
    <r>
      <rPr>
        <sz val="7"/>
        <color indexed="8"/>
        <rFont val="細明體"/>
        <family val="3"/>
      </rPr>
      <t>支應</t>
    </r>
  </si>
  <si>
    <r>
      <t xml:space="preserve">00027004
</t>
    </r>
    <r>
      <rPr>
        <sz val="7"/>
        <color indexed="8"/>
        <rFont val="細明體"/>
        <family val="3"/>
      </rPr>
      <t>擬由</t>
    </r>
    <r>
      <rPr>
        <sz val="7"/>
        <color indexed="8"/>
        <rFont val="Calibri"/>
        <family val="2"/>
      </rPr>
      <t>104</t>
    </r>
    <r>
      <rPr>
        <sz val="7"/>
        <color indexed="8"/>
        <rFont val="細明體"/>
        <family val="3"/>
      </rPr>
      <t>年度科技部專題研究計畫</t>
    </r>
    <r>
      <rPr>
        <sz val="7"/>
        <color indexed="8"/>
        <rFont val="Calibri"/>
        <family val="2"/>
      </rPr>
      <t>(314034)</t>
    </r>
    <r>
      <rPr>
        <sz val="7"/>
        <color indexed="8"/>
        <rFont val="細明體"/>
        <family val="3"/>
      </rPr>
      <t>國外差旅費項下支應</t>
    </r>
  </si>
  <si>
    <r>
      <t xml:space="preserve">00027791
</t>
    </r>
    <r>
      <rPr>
        <sz val="8.5"/>
        <color indexed="8"/>
        <rFont val="細明體"/>
        <family val="3"/>
      </rPr>
      <t>計畫尚未到期，報告尚未繳交</t>
    </r>
  </si>
  <si>
    <r>
      <t xml:space="preserve">00027461
</t>
    </r>
    <r>
      <rPr>
        <sz val="8.5"/>
        <color indexed="8"/>
        <rFont val="細明體"/>
        <family val="3"/>
      </rPr>
      <t>計畫尚未到期，報告尚未繳交</t>
    </r>
  </si>
  <si>
    <r>
      <t xml:space="preserve">00028523
</t>
    </r>
    <r>
      <rPr>
        <sz val="8.5"/>
        <color indexed="8"/>
        <rFont val="細明體"/>
        <family val="3"/>
      </rPr>
      <t>計畫尚未到期，報告尚未繳交</t>
    </r>
  </si>
  <si>
    <r>
      <t xml:space="preserve">00025668
</t>
    </r>
    <r>
      <rPr>
        <sz val="8.5"/>
        <color indexed="8"/>
        <rFont val="細明體"/>
        <family val="3"/>
      </rPr>
      <t>計畫尚未到期，報告尚未繳交</t>
    </r>
  </si>
  <si>
    <r>
      <t xml:space="preserve">00029254
</t>
    </r>
    <r>
      <rPr>
        <sz val="8.5"/>
        <color indexed="8"/>
        <rFont val="細明體"/>
        <family val="3"/>
      </rPr>
      <t>計畫尚未到期，報告尚未繳交</t>
    </r>
  </si>
  <si>
    <r>
      <t xml:space="preserve">00027362
</t>
    </r>
    <r>
      <rPr>
        <sz val="8.5"/>
        <color indexed="8"/>
        <rFont val="細明體"/>
        <family val="3"/>
      </rPr>
      <t>計畫尚未到期，報告尚未繳交</t>
    </r>
  </si>
  <si>
    <r>
      <t xml:space="preserve">00027790
</t>
    </r>
    <r>
      <rPr>
        <sz val="8.5"/>
        <color indexed="8"/>
        <rFont val="細明體"/>
        <family val="3"/>
      </rPr>
      <t>計畫尚未到期，報告尚未繳交</t>
    </r>
  </si>
  <si>
    <r>
      <t xml:space="preserve">00028016
</t>
    </r>
    <r>
      <rPr>
        <sz val="8.5"/>
        <color indexed="8"/>
        <rFont val="細明體"/>
        <family val="3"/>
      </rPr>
      <t>計畫尚未到期，報告尚未繳交</t>
    </r>
  </si>
  <si>
    <r>
      <t xml:space="preserve">00023278
</t>
    </r>
    <r>
      <rPr>
        <sz val="8.5"/>
        <color indexed="8"/>
        <rFont val="細明體"/>
        <family val="3"/>
      </rPr>
      <t>計畫尚未到期，報告尚未繳交</t>
    </r>
  </si>
  <si>
    <r>
      <t xml:space="preserve">00029795
</t>
    </r>
    <r>
      <rPr>
        <sz val="8.5"/>
        <color indexed="8"/>
        <rFont val="細明體"/>
        <family val="3"/>
      </rPr>
      <t>計畫尚未到期，報告尚未繳交</t>
    </r>
  </si>
  <si>
    <r>
      <t xml:space="preserve">00029613
</t>
    </r>
    <r>
      <rPr>
        <sz val="8.5"/>
        <color indexed="8"/>
        <rFont val="細明體"/>
        <family val="3"/>
      </rPr>
      <t>計畫尚未到期，報告尚未繳交</t>
    </r>
  </si>
  <si>
    <r>
      <t xml:space="preserve">00026503
</t>
    </r>
    <r>
      <rPr>
        <sz val="8.5"/>
        <color indexed="8"/>
        <rFont val="細明體"/>
        <family val="3"/>
      </rPr>
      <t>計畫尚未到期，報告尚未繳交</t>
    </r>
  </si>
  <si>
    <r>
      <t xml:space="preserve">00028548
</t>
    </r>
    <r>
      <rPr>
        <sz val="8.5"/>
        <color indexed="8"/>
        <rFont val="細明體"/>
        <family val="3"/>
      </rPr>
      <t>計畫尚未到期，報告尚未繳交</t>
    </r>
  </si>
  <si>
    <r>
      <t xml:space="preserve">00028701
</t>
    </r>
    <r>
      <rPr>
        <sz val="8.5"/>
        <color indexed="8"/>
        <rFont val="細明體"/>
        <family val="3"/>
      </rPr>
      <t>計畫尚未到期，報告尚未繳交</t>
    </r>
  </si>
  <si>
    <r>
      <t xml:space="preserve">00029916
</t>
    </r>
    <r>
      <rPr>
        <sz val="8.5"/>
        <color indexed="8"/>
        <rFont val="細明體"/>
        <family val="3"/>
      </rPr>
      <t>計畫尚未到期，報告尚未繳交</t>
    </r>
  </si>
  <si>
    <r>
      <t xml:space="preserve">00029917
</t>
    </r>
    <r>
      <rPr>
        <sz val="8.5"/>
        <color indexed="8"/>
        <rFont val="細明體"/>
        <family val="3"/>
      </rPr>
      <t>計畫尚未到期，報告尚未繳交</t>
    </r>
  </si>
  <si>
    <r>
      <t xml:space="preserve">00023783
</t>
    </r>
    <r>
      <rPr>
        <sz val="8.5"/>
        <color indexed="8"/>
        <rFont val="細明體"/>
        <family val="3"/>
      </rPr>
      <t>計畫尚未到期，報告尚未繳交</t>
    </r>
  </si>
  <si>
    <r>
      <t xml:space="preserve">00029918
</t>
    </r>
    <r>
      <rPr>
        <sz val="8.5"/>
        <color indexed="8"/>
        <rFont val="細明體"/>
        <family val="3"/>
      </rPr>
      <t>計畫尚未到期，報告尚未繳交</t>
    </r>
  </si>
  <si>
    <r>
      <t xml:space="preserve">00029152
</t>
    </r>
    <r>
      <rPr>
        <sz val="6"/>
        <color indexed="8"/>
        <rFont val="細明體"/>
        <family val="3"/>
      </rPr>
      <t>擬由</t>
    </r>
    <r>
      <rPr>
        <sz val="6"/>
        <color indexed="8"/>
        <rFont val="Calibri"/>
        <family val="2"/>
      </rPr>
      <t>104</t>
    </r>
    <r>
      <rPr>
        <sz val="6"/>
        <color indexed="8"/>
        <rFont val="細明體"/>
        <family val="3"/>
      </rPr>
      <t>年度科技部專題研究計畫「國外差旅費」項下支應</t>
    </r>
    <r>
      <rPr>
        <sz val="6"/>
        <color indexed="8"/>
        <rFont val="Calibri"/>
        <family val="2"/>
      </rPr>
      <t>(</t>
    </r>
    <r>
      <rPr>
        <sz val="6"/>
        <color indexed="8"/>
        <rFont val="細明體"/>
        <family val="3"/>
      </rPr>
      <t>計畫代號</t>
    </r>
    <r>
      <rPr>
        <sz val="6"/>
        <color indexed="8"/>
        <rFont val="Calibri"/>
        <family val="2"/>
      </rPr>
      <t>:314029)</t>
    </r>
    <r>
      <rPr>
        <sz val="6"/>
        <color indexed="8"/>
        <rFont val="細明體"/>
        <family val="3"/>
      </rPr>
      <t>。</t>
    </r>
  </si>
  <si>
    <r>
      <t xml:space="preserve">00029456
</t>
    </r>
    <r>
      <rPr>
        <sz val="6"/>
        <color indexed="8"/>
        <rFont val="細明體"/>
        <family val="3"/>
      </rPr>
      <t>擬由</t>
    </r>
    <r>
      <rPr>
        <sz val="6"/>
        <color indexed="8"/>
        <rFont val="Calibri"/>
        <family val="2"/>
      </rPr>
      <t>104</t>
    </r>
    <r>
      <rPr>
        <sz val="6"/>
        <color indexed="8"/>
        <rFont val="細明體"/>
        <family val="3"/>
      </rPr>
      <t>年度科技部專題研究計畫</t>
    </r>
    <r>
      <rPr>
        <sz val="6"/>
        <color indexed="8"/>
        <rFont val="Calibri"/>
        <family val="2"/>
      </rPr>
      <t>(</t>
    </r>
    <r>
      <rPr>
        <sz val="6"/>
        <color indexed="8"/>
        <rFont val="細明體"/>
        <family val="3"/>
      </rPr>
      <t>所代碼</t>
    </r>
    <r>
      <rPr>
        <sz val="6"/>
        <color indexed="8"/>
        <rFont val="Calibri"/>
        <family val="2"/>
      </rPr>
      <t>314034)</t>
    </r>
    <r>
      <rPr>
        <sz val="6"/>
        <color indexed="8"/>
        <rFont val="細明體"/>
        <family val="3"/>
      </rPr>
      <t>」國外差旅費項下支應。</t>
    </r>
  </si>
  <si>
    <r>
      <t xml:space="preserve">00030440
</t>
    </r>
    <r>
      <rPr>
        <sz val="8.5"/>
        <color indexed="8"/>
        <rFont val="細明體"/>
        <family val="3"/>
      </rPr>
      <t>計畫尚未到期，報告尚未繳交</t>
    </r>
  </si>
  <si>
    <r>
      <t xml:space="preserve">00030023
</t>
    </r>
    <r>
      <rPr>
        <sz val="8.5"/>
        <color indexed="8"/>
        <rFont val="細明體"/>
        <family val="3"/>
      </rPr>
      <t>計畫尚未到期，報告尚未繳交</t>
    </r>
  </si>
  <si>
    <r>
      <t xml:space="preserve">00030430
</t>
    </r>
    <r>
      <rPr>
        <sz val="8.5"/>
        <color indexed="8"/>
        <rFont val="細明體"/>
        <family val="3"/>
      </rPr>
      <t>計畫尚未到期，報告尚未繳交</t>
    </r>
  </si>
  <si>
    <r>
      <t xml:space="preserve">00030232
</t>
    </r>
    <r>
      <rPr>
        <sz val="6"/>
        <color indexed="8"/>
        <rFont val="細明體"/>
        <family val="3"/>
      </rPr>
      <t>科技部計畫補助此次出席會議費用。
計畫尚未到期，報告尚未繳交</t>
    </r>
  </si>
  <si>
    <r>
      <t xml:space="preserve">00030752
</t>
    </r>
    <r>
      <rPr>
        <sz val="8.5"/>
        <color indexed="8"/>
        <rFont val="細明體"/>
        <family val="3"/>
      </rPr>
      <t>計畫尚未到期，報告尚未繳交</t>
    </r>
  </si>
  <si>
    <r>
      <t xml:space="preserve">00031096
</t>
    </r>
    <r>
      <rPr>
        <sz val="8.5"/>
        <color indexed="8"/>
        <rFont val="細明體"/>
        <family val="3"/>
      </rPr>
      <t>計畫尚未到期，報告尚未繳交</t>
    </r>
  </si>
  <si>
    <r>
      <t xml:space="preserve">00028685
</t>
    </r>
    <r>
      <rPr>
        <sz val="8.5"/>
        <color indexed="8"/>
        <rFont val="細明體"/>
        <family val="3"/>
      </rPr>
      <t>計畫尚未到期，報告尚未繳交</t>
    </r>
  </si>
  <si>
    <r>
      <t xml:space="preserve">00031241
</t>
    </r>
    <r>
      <rPr>
        <sz val="8.5"/>
        <color indexed="8"/>
        <rFont val="細明體"/>
        <family val="3"/>
      </rPr>
      <t>計畫尚未到期，報告尚未繳交</t>
    </r>
  </si>
  <si>
    <r>
      <t xml:space="preserve">00030179
</t>
    </r>
    <r>
      <rPr>
        <sz val="8.5"/>
        <color indexed="8"/>
        <rFont val="細明體"/>
        <family val="3"/>
      </rPr>
      <t>計畫尚未到期，報告尚未繳交</t>
    </r>
  </si>
  <si>
    <r>
      <t xml:space="preserve">00031805
</t>
    </r>
    <r>
      <rPr>
        <sz val="8.5"/>
        <color indexed="8"/>
        <rFont val="細明體"/>
        <family val="3"/>
      </rPr>
      <t>計畫尚未到期，報告尚未繳交</t>
    </r>
  </si>
  <si>
    <r>
      <t xml:space="preserve">00031261
</t>
    </r>
    <r>
      <rPr>
        <sz val="8.5"/>
        <color indexed="8"/>
        <rFont val="細明體"/>
        <family val="3"/>
      </rPr>
      <t>計畫尚未到期，報告尚未繳交</t>
    </r>
  </si>
  <si>
    <r>
      <t xml:space="preserve">00030619
</t>
    </r>
    <r>
      <rPr>
        <sz val="8.5"/>
        <color indexed="8"/>
        <rFont val="細明體"/>
        <family val="3"/>
      </rPr>
      <t>計畫尚未到期，報告尚未繳交</t>
    </r>
  </si>
  <si>
    <r>
      <t xml:space="preserve">00028152
</t>
    </r>
    <r>
      <rPr>
        <sz val="8.5"/>
        <color indexed="8"/>
        <rFont val="細明體"/>
        <family val="3"/>
      </rPr>
      <t>計畫尚未到期，報告尚未繳交</t>
    </r>
  </si>
  <si>
    <r>
      <t xml:space="preserve">00030489
</t>
    </r>
    <r>
      <rPr>
        <sz val="8.5"/>
        <color indexed="8"/>
        <rFont val="細明體"/>
        <family val="3"/>
      </rPr>
      <t>計畫尚未到期，報告尚未繳交</t>
    </r>
  </si>
  <si>
    <r>
      <t xml:space="preserve">00031169
</t>
    </r>
    <r>
      <rPr>
        <sz val="8.5"/>
        <color indexed="8"/>
        <rFont val="細明體"/>
        <family val="3"/>
      </rPr>
      <t>計畫尚未到期，報告尚未繳交</t>
    </r>
  </si>
  <si>
    <r>
      <t xml:space="preserve">00028544
</t>
    </r>
    <r>
      <rPr>
        <sz val="8.5"/>
        <color indexed="8"/>
        <rFont val="細明體"/>
        <family val="3"/>
      </rPr>
      <t>計畫尚未到期，報告尚未繳交</t>
    </r>
  </si>
  <si>
    <r>
      <t xml:space="preserve">00029359
</t>
    </r>
    <r>
      <rPr>
        <sz val="8.5"/>
        <color indexed="8"/>
        <rFont val="細明體"/>
        <family val="3"/>
      </rPr>
      <t>計畫尚未到期，報告尚未繳交</t>
    </r>
  </si>
  <si>
    <r>
      <t xml:space="preserve">00029237
</t>
    </r>
    <r>
      <rPr>
        <sz val="8.5"/>
        <color indexed="8"/>
        <rFont val="細明體"/>
        <family val="3"/>
      </rPr>
      <t>計畫尚未到期，報告尚未繳交</t>
    </r>
  </si>
  <si>
    <r>
      <t>00030583
105</t>
    </r>
    <r>
      <rPr>
        <sz val="9"/>
        <color indexed="8"/>
        <rFont val="細明體"/>
        <family val="3"/>
      </rPr>
      <t>年度帳務列在國外旅費</t>
    </r>
  </si>
  <si>
    <r>
      <rPr>
        <sz val="9"/>
        <color indexed="8"/>
        <rFont val="細明體"/>
        <family val="3"/>
      </rPr>
      <t>此筆重覆。</t>
    </r>
    <r>
      <rPr>
        <sz val="9"/>
        <color indexed="8"/>
        <rFont val="Calibri"/>
        <family val="2"/>
      </rPr>
      <t>(</t>
    </r>
    <r>
      <rPr>
        <sz val="9"/>
        <color indexed="8"/>
        <rFont val="細明體"/>
        <family val="3"/>
      </rPr>
      <t>請主計室調整總帳時此筆重覆</t>
    </r>
    <r>
      <rPr>
        <sz val="9"/>
        <color indexed="8"/>
        <rFont val="Calibri"/>
        <family val="2"/>
      </rPr>
      <t>)</t>
    </r>
  </si>
  <si>
    <r>
      <t>00029954
105</t>
    </r>
    <r>
      <rPr>
        <sz val="9"/>
        <color indexed="8"/>
        <rFont val="細明體"/>
        <family val="3"/>
      </rPr>
      <t>年應付列在國外旅費</t>
    </r>
  </si>
  <si>
    <r>
      <t>00029954
105</t>
    </r>
    <r>
      <rPr>
        <sz val="6"/>
        <color indexed="8"/>
        <rFont val="細明體"/>
        <family val="3"/>
      </rPr>
      <t>年度帳務列在國外旅費
計畫尚未到期，報告尚未繳交</t>
    </r>
  </si>
  <si>
    <t>至上海理工大學進行移地研究</t>
  </si>
  <si>
    <r>
      <t>00025832
104</t>
    </r>
    <r>
      <rPr>
        <sz val="10"/>
        <color indexed="8"/>
        <rFont val="細明體"/>
        <family val="3"/>
      </rPr>
      <t>年度應付帳款差額</t>
    </r>
  </si>
  <si>
    <r>
      <t>104</t>
    </r>
    <r>
      <rPr>
        <sz val="10"/>
        <color indexed="8"/>
        <rFont val="細明體"/>
        <family val="3"/>
      </rPr>
      <t>年度應付帳款差額</t>
    </r>
  </si>
  <si>
    <t>研究員周家復擬於104年12月09日至104年12月28日赴Kent State.University, Cleveland, Ohio、Arizona State University, Phoenix, AZ進行學術交流研究、赴美國聖地亞哥參加2015 ASCB Annual Meeting並發表論文。</t>
  </si>
  <si>
    <r>
      <t>00026807
105</t>
    </r>
    <r>
      <rPr>
        <sz val="10"/>
        <color indexed="8"/>
        <rFont val="細明體"/>
        <family val="3"/>
      </rPr>
      <t>年度會計帳多列</t>
    </r>
  </si>
  <si>
    <r>
      <t xml:space="preserve">00025117
</t>
    </r>
    <r>
      <rPr>
        <sz val="8.5"/>
        <color indexed="8"/>
        <rFont val="細明體"/>
        <family val="3"/>
      </rPr>
      <t>計畫尚未到期，報告尚未繳交</t>
    </r>
  </si>
  <si>
    <r>
      <t xml:space="preserve">00030396
</t>
    </r>
    <r>
      <rPr>
        <sz val="8.5"/>
        <color indexed="8"/>
        <rFont val="細明體"/>
        <family val="3"/>
      </rPr>
      <t>計畫尚未到期，報告尚未繳交</t>
    </r>
  </si>
  <si>
    <r>
      <t xml:space="preserve">00031319
</t>
    </r>
    <r>
      <rPr>
        <sz val="8.5"/>
        <color indexed="8"/>
        <rFont val="細明體"/>
        <family val="3"/>
      </rPr>
      <t>計畫尚未到期，報告尚未繳交</t>
    </r>
  </si>
  <si>
    <r>
      <t xml:space="preserve">00032439
</t>
    </r>
    <r>
      <rPr>
        <sz val="8.5"/>
        <color indexed="8"/>
        <rFont val="細明體"/>
        <family val="3"/>
      </rPr>
      <t>計畫尚未到期，報告尚未繳交</t>
    </r>
  </si>
  <si>
    <r>
      <t xml:space="preserve">00031959
</t>
    </r>
    <r>
      <rPr>
        <sz val="8.5"/>
        <color indexed="8"/>
        <rFont val="細明體"/>
        <family val="3"/>
      </rPr>
      <t>計畫尚未到期，報告尚未繳交</t>
    </r>
  </si>
  <si>
    <r>
      <t xml:space="preserve">00032739
</t>
    </r>
    <r>
      <rPr>
        <sz val="8.5"/>
        <color indexed="8"/>
        <rFont val="細明體"/>
        <family val="3"/>
      </rPr>
      <t>計畫尚未到期，報告尚未繳交</t>
    </r>
  </si>
  <si>
    <r>
      <t xml:space="preserve">00029136
</t>
    </r>
    <r>
      <rPr>
        <sz val="8.5"/>
        <color indexed="8"/>
        <rFont val="細明體"/>
        <family val="3"/>
      </rPr>
      <t>計畫尚未到期，報告尚未繳交</t>
    </r>
  </si>
  <si>
    <r>
      <t xml:space="preserve">00032741
</t>
    </r>
    <r>
      <rPr>
        <sz val="8.5"/>
        <color indexed="8"/>
        <rFont val="細明體"/>
        <family val="3"/>
      </rPr>
      <t>計畫尚未到期，報告尚未繳交</t>
    </r>
  </si>
  <si>
    <r>
      <t xml:space="preserve">00031570
</t>
    </r>
    <r>
      <rPr>
        <sz val="8.5"/>
        <color indexed="8"/>
        <rFont val="細明體"/>
        <family val="3"/>
      </rPr>
      <t>計畫尚未到期，報告尚未繳交</t>
    </r>
  </si>
  <si>
    <r>
      <t xml:space="preserve">00032742
</t>
    </r>
    <r>
      <rPr>
        <sz val="8.5"/>
        <color indexed="8"/>
        <rFont val="細明體"/>
        <family val="3"/>
      </rPr>
      <t>計畫尚未到期，報告尚未繳交</t>
    </r>
  </si>
  <si>
    <r>
      <t xml:space="preserve">00031678
</t>
    </r>
    <r>
      <rPr>
        <sz val="8.5"/>
        <color indexed="8"/>
        <rFont val="細明體"/>
        <family val="3"/>
      </rPr>
      <t>計畫尚未到期，報告尚未繳交</t>
    </r>
  </si>
  <si>
    <r>
      <t xml:space="preserve">00032744
</t>
    </r>
    <r>
      <rPr>
        <sz val="8.5"/>
        <color indexed="8"/>
        <rFont val="細明體"/>
        <family val="3"/>
      </rPr>
      <t>計畫尚未到期，報告尚未繳交</t>
    </r>
  </si>
  <si>
    <r>
      <t xml:space="preserve">00031842
</t>
    </r>
    <r>
      <rPr>
        <sz val="8.5"/>
        <color indexed="8"/>
        <rFont val="細明體"/>
        <family val="3"/>
      </rPr>
      <t>計畫尚未到期，報告尚未繳交</t>
    </r>
  </si>
  <si>
    <r>
      <t xml:space="preserve">00031463
</t>
    </r>
    <r>
      <rPr>
        <sz val="8.5"/>
        <color indexed="8"/>
        <rFont val="細明體"/>
        <family val="3"/>
      </rPr>
      <t>計畫尚未到期，報告尚未繳交</t>
    </r>
  </si>
  <si>
    <r>
      <t xml:space="preserve">00030718
</t>
    </r>
    <r>
      <rPr>
        <sz val="8.5"/>
        <color indexed="8"/>
        <rFont val="細明體"/>
        <family val="3"/>
      </rPr>
      <t>計畫尚未到期，報告尚未繳交</t>
    </r>
  </si>
  <si>
    <r>
      <t xml:space="preserve">00027360
</t>
    </r>
    <r>
      <rPr>
        <sz val="8.5"/>
        <color indexed="8"/>
        <rFont val="細明體"/>
        <family val="3"/>
      </rPr>
      <t>計畫尚未到期，報告尚未繳交</t>
    </r>
  </si>
  <si>
    <r>
      <t xml:space="preserve">00027655
</t>
    </r>
    <r>
      <rPr>
        <sz val="8.5"/>
        <color indexed="8"/>
        <rFont val="細明體"/>
        <family val="3"/>
      </rPr>
      <t>計畫尚未到期，報告尚未繳交</t>
    </r>
  </si>
  <si>
    <r>
      <t xml:space="preserve">00027192
</t>
    </r>
    <r>
      <rPr>
        <sz val="8.5"/>
        <color indexed="8"/>
        <rFont val="細明體"/>
        <family val="3"/>
      </rPr>
      <t>計畫尚未到期，報告尚未繳交</t>
    </r>
    <r>
      <rPr>
        <sz val="8.5"/>
        <color indexed="8"/>
        <rFont val="Calibri"/>
        <family val="2"/>
      </rPr>
      <t xml:space="preserve">
</t>
    </r>
    <r>
      <rPr>
        <sz val="8.5"/>
        <color indexed="8"/>
        <rFont val="細明體"/>
        <family val="3"/>
      </rPr>
      <t>支付培養基等</t>
    </r>
  </si>
  <si>
    <r>
      <t xml:space="preserve">00027192
</t>
    </r>
    <r>
      <rPr>
        <sz val="8.5"/>
        <color indexed="8"/>
        <rFont val="細明體"/>
        <family val="3"/>
      </rPr>
      <t>計畫尚未到期，報告尚未繳交</t>
    </r>
  </si>
  <si>
    <r>
      <t xml:space="preserve">00027738
</t>
    </r>
    <r>
      <rPr>
        <sz val="8.5"/>
        <color indexed="8"/>
        <rFont val="細明體"/>
        <family val="3"/>
      </rPr>
      <t>計畫尚未到期，報告尚未繳交</t>
    </r>
  </si>
  <si>
    <r>
      <t xml:space="preserve">00020162
</t>
    </r>
    <r>
      <rPr>
        <sz val="8.5"/>
        <color indexed="8"/>
        <rFont val="細明體"/>
        <family val="3"/>
      </rPr>
      <t>計畫尚未到期，報告尚未繳交</t>
    </r>
  </si>
  <si>
    <r>
      <t xml:space="preserve">00027150
</t>
    </r>
    <r>
      <rPr>
        <sz val="8.5"/>
        <color indexed="8"/>
        <rFont val="細明體"/>
        <family val="3"/>
      </rPr>
      <t>計畫尚未到期，報告尚未繳交</t>
    </r>
  </si>
  <si>
    <r>
      <t xml:space="preserve">00027153
</t>
    </r>
    <r>
      <rPr>
        <sz val="8.5"/>
        <color indexed="8"/>
        <rFont val="細明體"/>
        <family val="3"/>
      </rPr>
      <t>計畫尚未到期，報告尚未繳交</t>
    </r>
  </si>
  <si>
    <r>
      <t xml:space="preserve">00019798
</t>
    </r>
    <r>
      <rPr>
        <sz val="7"/>
        <color indexed="8"/>
        <rFont val="細明體"/>
        <family val="3"/>
      </rPr>
      <t>因此經費源下此出國類別經費已使用完畢，故擬申請流用。</t>
    </r>
  </si>
  <si>
    <r>
      <t xml:space="preserve">00029002
</t>
    </r>
    <r>
      <rPr>
        <sz val="8.5"/>
        <color indexed="8"/>
        <rFont val="細明體"/>
        <family val="3"/>
      </rPr>
      <t>計畫尚未到期，報告尚未繳交</t>
    </r>
  </si>
  <si>
    <r>
      <t xml:space="preserve">00028127
</t>
    </r>
    <r>
      <rPr>
        <sz val="8.5"/>
        <color indexed="8"/>
        <rFont val="細明體"/>
        <family val="3"/>
      </rPr>
      <t>計畫尚未到期，報告尚未繳交</t>
    </r>
  </si>
  <si>
    <r>
      <t xml:space="preserve">00027370
</t>
    </r>
    <r>
      <rPr>
        <sz val="8.5"/>
        <color indexed="8"/>
        <rFont val="細明體"/>
        <family val="3"/>
      </rPr>
      <t>計畫尚未到期，報告尚未繳交</t>
    </r>
  </si>
  <si>
    <r>
      <t xml:space="preserve">00028432
</t>
    </r>
    <r>
      <rPr>
        <sz val="8.5"/>
        <color indexed="8"/>
        <rFont val="細明體"/>
        <family val="3"/>
      </rPr>
      <t>計畫尚未到期，報告尚未繳交</t>
    </r>
  </si>
  <si>
    <r>
      <t xml:space="preserve">00028718
</t>
    </r>
    <r>
      <rPr>
        <sz val="8.5"/>
        <color indexed="8"/>
        <rFont val="細明體"/>
        <family val="3"/>
      </rPr>
      <t>計畫尚未到期，報告尚未繳交</t>
    </r>
  </si>
  <si>
    <r>
      <t xml:space="preserve">00028295
</t>
    </r>
    <r>
      <rPr>
        <sz val="8.5"/>
        <color indexed="8"/>
        <rFont val="細明體"/>
        <family val="3"/>
      </rPr>
      <t>計畫尚未到期，報告尚未繳交</t>
    </r>
  </si>
  <si>
    <r>
      <t xml:space="preserve">00028388
</t>
    </r>
    <r>
      <rPr>
        <sz val="8.5"/>
        <color indexed="8"/>
        <rFont val="細明體"/>
        <family val="3"/>
      </rPr>
      <t>計畫尚未到期，報告尚未繳交</t>
    </r>
  </si>
  <si>
    <r>
      <t xml:space="preserve">00029548
</t>
    </r>
    <r>
      <rPr>
        <sz val="8.5"/>
        <color indexed="8"/>
        <rFont val="細明體"/>
        <family val="3"/>
      </rPr>
      <t>計畫尚未到期，報告尚未繳交</t>
    </r>
  </si>
  <si>
    <r>
      <t xml:space="preserve">00028810
</t>
    </r>
    <r>
      <rPr>
        <sz val="8.5"/>
        <color indexed="8"/>
        <rFont val="細明體"/>
        <family val="3"/>
      </rPr>
      <t>計畫尚未到期，報告尚未繳交</t>
    </r>
  </si>
  <si>
    <t>00030319
計畫尚未到期，報告尚未繳交</t>
  </si>
  <si>
    <t>00028464
計畫尚未到期，報告尚未繳交</t>
  </si>
  <si>
    <r>
      <t xml:space="preserve">00028721
</t>
    </r>
    <r>
      <rPr>
        <sz val="8.5"/>
        <color indexed="8"/>
        <rFont val="細明體"/>
        <family val="3"/>
      </rPr>
      <t>計畫尚未到期，報告尚未繳交</t>
    </r>
  </si>
  <si>
    <r>
      <t xml:space="preserve">00028460
</t>
    </r>
    <r>
      <rPr>
        <sz val="8.5"/>
        <color indexed="8"/>
        <rFont val="細明體"/>
        <family val="3"/>
      </rPr>
      <t>計畫尚未到期，報告尚未繳交</t>
    </r>
  </si>
  <si>
    <r>
      <t xml:space="preserve">00030390
</t>
    </r>
    <r>
      <rPr>
        <sz val="8.5"/>
        <color indexed="8"/>
        <rFont val="細明體"/>
        <family val="3"/>
      </rPr>
      <t>計畫尚未到期，報告尚未繳交</t>
    </r>
  </si>
  <si>
    <r>
      <t xml:space="preserve">00029154
</t>
    </r>
    <r>
      <rPr>
        <sz val="8.5"/>
        <color indexed="8"/>
        <rFont val="細明體"/>
        <family val="3"/>
      </rPr>
      <t>計畫尚未到期，報告尚未繳交</t>
    </r>
  </si>
  <si>
    <t>00030023
計畫尚未到期，報告尚未繳交</t>
  </si>
  <si>
    <r>
      <t xml:space="preserve">00031043
</t>
    </r>
    <r>
      <rPr>
        <sz val="8.5"/>
        <color indexed="8"/>
        <rFont val="細明體"/>
        <family val="3"/>
      </rPr>
      <t>計畫尚未到期，報告尚未繳交</t>
    </r>
  </si>
  <si>
    <r>
      <t xml:space="preserve">00030450
</t>
    </r>
    <r>
      <rPr>
        <sz val="8.5"/>
        <color indexed="8"/>
        <rFont val="細明體"/>
        <family val="3"/>
      </rPr>
      <t>計畫尚未到期，報告尚未繳交</t>
    </r>
  </si>
  <si>
    <r>
      <t xml:space="preserve">00027765
</t>
    </r>
    <r>
      <rPr>
        <sz val="8.5"/>
        <color indexed="8"/>
        <rFont val="細明體"/>
        <family val="3"/>
      </rPr>
      <t>計畫尚未到期，報告尚未繳交</t>
    </r>
  </si>
  <si>
    <r>
      <t xml:space="preserve">00031222
</t>
    </r>
    <r>
      <rPr>
        <sz val="8.5"/>
        <color indexed="8"/>
        <rFont val="細明體"/>
        <family val="3"/>
      </rPr>
      <t>計畫尚未到期，報告尚未繳交</t>
    </r>
  </si>
  <si>
    <r>
      <t xml:space="preserve">00030700
</t>
    </r>
    <r>
      <rPr>
        <sz val="8.5"/>
        <color indexed="8"/>
        <rFont val="細明體"/>
        <family val="3"/>
      </rPr>
      <t>計畫尚未到期，報告尚未繳交</t>
    </r>
  </si>
  <si>
    <r>
      <t xml:space="preserve">00030904
</t>
    </r>
    <r>
      <rPr>
        <sz val="8.5"/>
        <color indexed="8"/>
        <rFont val="細明體"/>
        <family val="3"/>
      </rPr>
      <t>計畫尚未到期，報告尚未繳交</t>
    </r>
  </si>
  <si>
    <r>
      <t xml:space="preserve">00031585
</t>
    </r>
    <r>
      <rPr>
        <sz val="8.5"/>
        <color indexed="8"/>
        <rFont val="細明體"/>
        <family val="3"/>
      </rPr>
      <t>計畫尚未到期，報告尚未繳交</t>
    </r>
  </si>
  <si>
    <r>
      <t xml:space="preserve">00031257
</t>
    </r>
    <r>
      <rPr>
        <sz val="8.5"/>
        <color indexed="8"/>
        <rFont val="細明體"/>
        <family val="3"/>
      </rPr>
      <t>計畫尚未到期，報告尚未繳交</t>
    </r>
  </si>
  <si>
    <r>
      <t xml:space="preserve">00031151
</t>
    </r>
    <r>
      <rPr>
        <sz val="8.5"/>
        <color indexed="8"/>
        <rFont val="細明體"/>
        <family val="3"/>
      </rPr>
      <t>計畫尚未到期，報告尚未繳交</t>
    </r>
  </si>
  <si>
    <r>
      <t xml:space="preserve">00031198
</t>
    </r>
    <r>
      <rPr>
        <sz val="8.5"/>
        <color indexed="8"/>
        <rFont val="細明體"/>
        <family val="3"/>
      </rPr>
      <t>計畫尚未到期，報告尚未繳交</t>
    </r>
  </si>
  <si>
    <r>
      <t xml:space="preserve">00031052
</t>
    </r>
    <r>
      <rPr>
        <sz val="8.5"/>
        <color indexed="8"/>
        <rFont val="細明體"/>
        <family val="3"/>
      </rPr>
      <t>計畫尚未到期，報告尚未繳交</t>
    </r>
  </si>
  <si>
    <r>
      <t xml:space="preserve">00031053
</t>
    </r>
    <r>
      <rPr>
        <sz val="8.5"/>
        <color indexed="8"/>
        <rFont val="細明體"/>
        <family val="3"/>
      </rPr>
      <t>計畫尚未到期，報告尚未繳交</t>
    </r>
    <r>
      <rPr>
        <sz val="8.5"/>
        <color indexed="8"/>
        <rFont val="Calibri"/>
        <family val="2"/>
      </rPr>
      <t xml:space="preserve">
</t>
    </r>
    <r>
      <rPr>
        <sz val="8.5"/>
        <color indexed="8"/>
        <rFont val="細明體"/>
        <family val="3"/>
      </rPr>
      <t>計畫尚未到期，報告尚未繳交</t>
    </r>
  </si>
  <si>
    <r>
      <t xml:space="preserve">00031565
</t>
    </r>
    <r>
      <rPr>
        <sz val="8.5"/>
        <color indexed="8"/>
        <rFont val="細明體"/>
        <family val="3"/>
      </rPr>
      <t>計畫尚未到期，報告尚未繳交</t>
    </r>
  </si>
  <si>
    <r>
      <t xml:space="preserve">00032436
</t>
    </r>
    <r>
      <rPr>
        <sz val="8.5"/>
        <color indexed="8"/>
        <rFont val="細明體"/>
        <family val="3"/>
      </rPr>
      <t>計畫尚未到期，報告尚未繳交</t>
    </r>
  </si>
  <si>
    <r>
      <t xml:space="preserve">00031258
</t>
    </r>
    <r>
      <rPr>
        <sz val="8.5"/>
        <color indexed="8"/>
        <rFont val="細明體"/>
        <family val="3"/>
      </rPr>
      <t>計畫尚未到期，報告尚未繳交</t>
    </r>
  </si>
  <si>
    <r>
      <t xml:space="preserve">00031332
</t>
    </r>
    <r>
      <rPr>
        <sz val="8.5"/>
        <color indexed="8"/>
        <rFont val="細明體"/>
        <family val="3"/>
      </rPr>
      <t>計畫尚未到期，報告尚未繳交</t>
    </r>
  </si>
  <si>
    <r>
      <t xml:space="preserve">00031021
</t>
    </r>
    <r>
      <rPr>
        <sz val="8.5"/>
        <color indexed="8"/>
        <rFont val="細明體"/>
        <family val="3"/>
      </rPr>
      <t>計畫尚未到期，報告尚未繳交</t>
    </r>
  </si>
  <si>
    <r>
      <t xml:space="preserve">00031567
</t>
    </r>
    <r>
      <rPr>
        <sz val="8.5"/>
        <color indexed="8"/>
        <rFont val="細明體"/>
        <family val="3"/>
      </rPr>
      <t>計畫尚未到期，報告尚未繳交</t>
    </r>
  </si>
  <si>
    <r>
      <t xml:space="preserve">00031280
</t>
    </r>
    <r>
      <rPr>
        <sz val="8.5"/>
        <color indexed="8"/>
        <rFont val="細明體"/>
        <family val="3"/>
      </rPr>
      <t>計畫尚未到期，報告尚未繳交</t>
    </r>
  </si>
  <si>
    <r>
      <t xml:space="preserve">00030975
</t>
    </r>
    <r>
      <rPr>
        <sz val="8.5"/>
        <color indexed="8"/>
        <rFont val="細明體"/>
        <family val="3"/>
      </rPr>
      <t>計畫尚未到期，報告尚未繳交</t>
    </r>
  </si>
  <si>
    <r>
      <t xml:space="preserve">00030425
</t>
    </r>
    <r>
      <rPr>
        <sz val="8.5"/>
        <color indexed="8"/>
        <rFont val="細明體"/>
        <family val="3"/>
      </rPr>
      <t>計畫尚未到期，報告尚未繳交</t>
    </r>
  </si>
  <si>
    <r>
      <t xml:space="preserve">00029043
</t>
    </r>
    <r>
      <rPr>
        <sz val="8.5"/>
        <color indexed="8"/>
        <rFont val="細明體"/>
        <family val="3"/>
      </rPr>
      <t>計畫尚未到期，報告尚未繳交</t>
    </r>
  </si>
  <si>
    <r>
      <t xml:space="preserve">00028833
</t>
    </r>
    <r>
      <rPr>
        <sz val="8.5"/>
        <color indexed="8"/>
        <rFont val="細明體"/>
        <family val="3"/>
      </rPr>
      <t>計畫尚未到期，報告尚未繳交</t>
    </r>
  </si>
  <si>
    <r>
      <t xml:space="preserve">00031155
</t>
    </r>
    <r>
      <rPr>
        <sz val="8.5"/>
        <color indexed="8"/>
        <rFont val="細明體"/>
        <family val="3"/>
      </rPr>
      <t>計畫尚未到期，報告尚未繳交</t>
    </r>
  </si>
  <si>
    <r>
      <t xml:space="preserve">00032359
</t>
    </r>
    <r>
      <rPr>
        <sz val="8.5"/>
        <color indexed="8"/>
        <rFont val="細明體"/>
        <family val="3"/>
      </rPr>
      <t>計畫尚未到期，報告尚未繳交</t>
    </r>
  </si>
  <si>
    <t>00031155
105年度應付帳款差額</t>
  </si>
  <si>
    <r>
      <t xml:space="preserve">00029273
</t>
    </r>
    <r>
      <rPr>
        <sz val="6"/>
        <color indexed="8"/>
        <rFont val="細明體"/>
        <family val="3"/>
      </rPr>
      <t>擬由</t>
    </r>
    <r>
      <rPr>
        <sz val="6"/>
        <color indexed="8"/>
        <rFont val="Calibri"/>
        <family val="2"/>
      </rPr>
      <t>104</t>
    </r>
    <r>
      <rPr>
        <sz val="6"/>
        <color indexed="8"/>
        <rFont val="細明體"/>
        <family val="3"/>
      </rPr>
      <t>年度科技部專題研究計畫國外差旅費項下支應</t>
    </r>
    <r>
      <rPr>
        <sz val="6"/>
        <color indexed="8"/>
        <rFont val="Calibri"/>
        <family val="2"/>
      </rPr>
      <t>(</t>
    </r>
    <r>
      <rPr>
        <sz val="6"/>
        <color indexed="8"/>
        <rFont val="細明體"/>
        <family val="3"/>
      </rPr>
      <t>計畫代碼</t>
    </r>
    <r>
      <rPr>
        <sz val="6"/>
        <color indexed="8"/>
        <rFont val="Calibri"/>
        <family val="2"/>
      </rPr>
      <t xml:space="preserve">314037) </t>
    </r>
    <r>
      <rPr>
        <sz val="6"/>
        <color indexed="8"/>
        <rFont val="細明體"/>
        <family val="3"/>
      </rPr>
      <t>計畫尚未到期報告尚未繳交</t>
    </r>
  </si>
  <si>
    <t>蒙古</t>
  </si>
  <si>
    <t>蒙古</t>
  </si>
  <si>
    <r>
      <t xml:space="preserve">00033111
</t>
    </r>
    <r>
      <rPr>
        <sz val="10"/>
        <rFont val="新細明體"/>
        <family val="1"/>
      </rPr>
      <t>實支$16,494</t>
    </r>
  </si>
  <si>
    <r>
      <t xml:space="preserve">00027321
</t>
    </r>
    <r>
      <rPr>
        <sz val="6.5"/>
        <color indexed="8"/>
        <rFont val="細明體"/>
        <family val="3"/>
      </rPr>
      <t>因計畫延期至</t>
    </r>
    <r>
      <rPr>
        <sz val="6.5"/>
        <color indexed="8"/>
        <rFont val="Calibri"/>
        <family val="2"/>
      </rPr>
      <t>105/7/31,</t>
    </r>
    <r>
      <rPr>
        <sz val="6.5"/>
        <color indexed="8"/>
        <rFont val="細明體"/>
        <family val="3"/>
      </rPr>
      <t>科技部差旅報告可於結案前</t>
    </r>
    <r>
      <rPr>
        <sz val="6.5"/>
        <color indexed="8"/>
        <rFont val="Calibri"/>
        <family val="2"/>
      </rPr>
      <t>105/10/31</t>
    </r>
    <r>
      <rPr>
        <sz val="6.5"/>
        <color indexed="8"/>
        <rFont val="細明體"/>
        <family val="3"/>
      </rPr>
      <t>一併繳交</t>
    </r>
  </si>
  <si>
    <r>
      <t xml:space="preserve">00027279
</t>
    </r>
    <r>
      <rPr>
        <sz val="6.5"/>
        <color indexed="8"/>
        <rFont val="細明體"/>
        <family val="3"/>
      </rPr>
      <t>因計畫延期至</t>
    </r>
    <r>
      <rPr>
        <sz val="6.5"/>
        <color indexed="8"/>
        <rFont val="Calibri"/>
        <family val="2"/>
      </rPr>
      <t>105/7/31,</t>
    </r>
    <r>
      <rPr>
        <sz val="6.5"/>
        <color indexed="8"/>
        <rFont val="細明體"/>
        <family val="3"/>
      </rPr>
      <t>科技部差旅報告可於結案前</t>
    </r>
    <r>
      <rPr>
        <sz val="6.5"/>
        <color indexed="8"/>
        <rFont val="Calibri"/>
        <family val="2"/>
      </rPr>
      <t>105/10/31</t>
    </r>
    <r>
      <rPr>
        <sz val="6.5"/>
        <color indexed="8"/>
        <rFont val="細明體"/>
        <family val="3"/>
      </rPr>
      <t>一併繳交</t>
    </r>
  </si>
  <si>
    <r>
      <t xml:space="preserve">00027829
</t>
    </r>
    <r>
      <rPr>
        <sz val="6.5"/>
        <color indexed="8"/>
        <rFont val="細明體"/>
        <family val="3"/>
      </rPr>
      <t>因計畫延期至</t>
    </r>
    <r>
      <rPr>
        <sz val="6.5"/>
        <color indexed="8"/>
        <rFont val="Calibri"/>
        <family val="2"/>
      </rPr>
      <t>105/7/31,</t>
    </r>
    <r>
      <rPr>
        <sz val="6.5"/>
        <color indexed="8"/>
        <rFont val="細明體"/>
        <family val="3"/>
      </rPr>
      <t>科技部差旅報告可於結案前</t>
    </r>
    <r>
      <rPr>
        <sz val="6.5"/>
        <color indexed="8"/>
        <rFont val="Calibri"/>
        <family val="2"/>
      </rPr>
      <t>105/10/31</t>
    </r>
    <r>
      <rPr>
        <sz val="6.5"/>
        <color indexed="8"/>
        <rFont val="細明體"/>
        <family val="3"/>
      </rPr>
      <t>一併繳交</t>
    </r>
  </si>
  <si>
    <r>
      <t xml:space="preserve">00028805
</t>
    </r>
    <r>
      <rPr>
        <sz val="8"/>
        <color indexed="8"/>
        <rFont val="細明體"/>
        <family val="3"/>
      </rPr>
      <t>多年期計畫</t>
    </r>
    <r>
      <rPr>
        <sz val="8"/>
        <color indexed="8"/>
        <rFont val="Calibri"/>
        <family val="2"/>
      </rPr>
      <t>,</t>
    </r>
    <r>
      <rPr>
        <sz val="8"/>
        <color indexed="8"/>
        <rFont val="細明體"/>
        <family val="3"/>
      </rPr>
      <t>報告於結案時繳交</t>
    </r>
  </si>
  <si>
    <r>
      <t xml:space="preserve">00027635
</t>
    </r>
    <r>
      <rPr>
        <sz val="6.5"/>
        <color indexed="8"/>
        <rFont val="細明體"/>
        <family val="3"/>
      </rPr>
      <t>因計畫延期至</t>
    </r>
    <r>
      <rPr>
        <sz val="6.5"/>
        <color indexed="8"/>
        <rFont val="Calibri"/>
        <family val="2"/>
      </rPr>
      <t>105/7/31,</t>
    </r>
    <r>
      <rPr>
        <sz val="6.5"/>
        <color indexed="8"/>
        <rFont val="細明體"/>
        <family val="3"/>
      </rPr>
      <t>科技部差旅報告可於結案前</t>
    </r>
    <r>
      <rPr>
        <sz val="6.5"/>
        <color indexed="8"/>
        <rFont val="Calibri"/>
        <family val="2"/>
      </rPr>
      <t>105/10/31</t>
    </r>
    <r>
      <rPr>
        <sz val="6.5"/>
        <color indexed="8"/>
        <rFont val="細明體"/>
        <family val="3"/>
      </rPr>
      <t>一併繳交</t>
    </r>
  </si>
  <si>
    <r>
      <t>00029499
106.01.23</t>
    </r>
    <r>
      <rPr>
        <sz val="8"/>
        <color indexed="8"/>
        <rFont val="新細明體"/>
        <family val="1"/>
      </rPr>
      <t>＃6161022收回105年度旅費</t>
    </r>
  </si>
  <si>
    <r>
      <t xml:space="preserve">00027798
</t>
    </r>
    <r>
      <rPr>
        <sz val="6.5"/>
        <color indexed="8"/>
        <rFont val="細明體"/>
        <family val="3"/>
      </rPr>
      <t>按中研院規定實報實銷</t>
    </r>
    <r>
      <rPr>
        <sz val="6.5"/>
        <color indexed="8"/>
        <rFont val="Calibri"/>
        <family val="2"/>
      </rPr>
      <t xml:space="preserve"> </t>
    </r>
    <r>
      <rPr>
        <sz val="6.5"/>
        <color indexed="8"/>
        <rFont val="細明體"/>
        <family val="3"/>
      </rPr>
      <t>特殊計畫已繳報告，科技部也核了下個計畫在基因體執行</t>
    </r>
  </si>
  <si>
    <r>
      <t xml:space="preserve">00029875
</t>
    </r>
    <r>
      <rPr>
        <sz val="6.5"/>
        <color indexed="8"/>
        <rFont val="細明體"/>
        <family val="3"/>
      </rPr>
      <t>此份是單獨跟科技部申請之計畫</t>
    </r>
    <r>
      <rPr>
        <sz val="6.5"/>
        <color indexed="8"/>
        <rFont val="Calibri"/>
        <family val="2"/>
      </rPr>
      <t>,</t>
    </r>
    <r>
      <rPr>
        <sz val="6.5"/>
        <color indexed="8"/>
        <rFont val="細明體"/>
        <family val="3"/>
      </rPr>
      <t>已繳交報告且也和</t>
    </r>
    <r>
      <rPr>
        <sz val="6.5"/>
        <color indexed="8"/>
        <rFont val="Calibri"/>
        <family val="2"/>
      </rPr>
      <t>106</t>
    </r>
    <r>
      <rPr>
        <sz val="6.5"/>
        <color indexed="8"/>
        <rFont val="細明體"/>
        <family val="3"/>
      </rPr>
      <t>年度第二年經費</t>
    </r>
  </si>
  <si>
    <r>
      <t>00031402</t>
    </r>
    <r>
      <rPr>
        <sz val="6"/>
        <color indexed="8"/>
        <rFont val="細明體"/>
        <family val="3"/>
      </rPr>
      <t>已申請科技部補助出席國際會議費用，並獲得通過補助上限新台幣</t>
    </r>
    <r>
      <rPr>
        <sz val="6"/>
        <color indexed="8"/>
        <rFont val="Calibri"/>
        <family val="2"/>
      </rPr>
      <t>80000</t>
    </r>
    <r>
      <rPr>
        <sz val="6"/>
        <color indexed="8"/>
        <rFont val="細明體"/>
        <family val="3"/>
      </rPr>
      <t>元。</t>
    </r>
    <r>
      <rPr>
        <sz val="6"/>
        <color indexed="8"/>
        <rFont val="Calibri"/>
        <family val="2"/>
      </rPr>
      <t xml:space="preserve"> </t>
    </r>
    <r>
      <rPr>
        <sz val="6"/>
        <color indexed="8"/>
        <rFont val="細明體"/>
        <family val="3"/>
      </rPr>
      <t>單獨繳交報告歸還墊款</t>
    </r>
  </si>
  <si>
    <r>
      <t xml:space="preserve">00030463
</t>
    </r>
    <r>
      <rPr>
        <sz val="8.5"/>
        <color indexed="8"/>
        <rFont val="細明體"/>
        <family val="3"/>
      </rPr>
      <t>出國報告連同結案報告一併繳交</t>
    </r>
  </si>
  <si>
    <r>
      <t xml:space="preserve">00029458
</t>
    </r>
    <r>
      <rPr>
        <sz val="8.5"/>
        <color indexed="8"/>
        <rFont val="細明體"/>
        <family val="3"/>
      </rPr>
      <t>出國報告連同結案報告一併繳交</t>
    </r>
  </si>
  <si>
    <r>
      <t xml:space="preserve">00026711
</t>
    </r>
    <r>
      <rPr>
        <sz val="6.5"/>
        <rFont val="Calibri"/>
        <family val="2"/>
      </rPr>
      <t>104</t>
    </r>
    <r>
      <rPr>
        <sz val="6.5"/>
        <rFont val="細明體"/>
        <family val="3"/>
      </rPr>
      <t>年度應付帳款</t>
    </r>
    <r>
      <rPr>
        <sz val="6.5"/>
        <rFont val="Calibri"/>
        <family val="2"/>
      </rPr>
      <t xml:space="preserve">, </t>
    </r>
    <r>
      <rPr>
        <sz val="6.5"/>
        <rFont val="細明體"/>
        <family val="3"/>
      </rPr>
      <t>基金帳核銷為「大陸旅費」，因公核銷為「國外旅費」</t>
    </r>
  </si>
  <si>
    <r>
      <t xml:space="preserve">00026708
</t>
    </r>
    <r>
      <rPr>
        <sz val="6.5"/>
        <rFont val="Calibri"/>
        <family val="2"/>
      </rPr>
      <t>104</t>
    </r>
    <r>
      <rPr>
        <sz val="6.5"/>
        <rFont val="細明體"/>
        <family val="3"/>
      </rPr>
      <t>年度應付帳款</t>
    </r>
    <r>
      <rPr>
        <sz val="6.5"/>
        <rFont val="Calibri"/>
        <family val="2"/>
      </rPr>
      <t xml:space="preserve">, </t>
    </r>
    <r>
      <rPr>
        <sz val="6.5"/>
        <rFont val="細明體"/>
        <family val="3"/>
      </rPr>
      <t>基金帳核銷為「大陸旅費」，因公核銷為「國外旅費」</t>
    </r>
  </si>
  <si>
    <r>
      <t>00027899</t>
    </r>
    <r>
      <rPr>
        <sz val="6"/>
        <color indexed="8"/>
        <rFont val="細明體"/>
        <family val="3"/>
      </rPr>
      <t>經費來源「計畫結餘款再運用」</t>
    </r>
    <r>
      <rPr>
        <sz val="6"/>
        <color indexed="8"/>
        <rFont val="Calibri"/>
        <family val="2"/>
      </rPr>
      <t>,</t>
    </r>
    <r>
      <rPr>
        <sz val="6"/>
        <color indexed="8"/>
        <rFont val="細明體"/>
        <family val="3"/>
      </rPr>
      <t>出差人於出國前</t>
    </r>
    <r>
      <rPr>
        <sz val="6"/>
        <color indexed="8"/>
        <rFont val="Calibri"/>
        <family val="2"/>
      </rPr>
      <t>,</t>
    </r>
    <r>
      <rPr>
        <sz val="6"/>
        <color indexed="8"/>
        <rFont val="細明體"/>
        <family val="3"/>
      </rPr>
      <t>因公出國系統尚無此選項</t>
    </r>
    <r>
      <rPr>
        <sz val="6"/>
        <color indexed="8"/>
        <rFont val="Calibri"/>
        <family val="2"/>
      </rPr>
      <t>,</t>
    </r>
    <r>
      <rPr>
        <sz val="6"/>
        <color indexed="8"/>
        <rFont val="細明體"/>
        <family val="3"/>
      </rPr>
      <t>以「一般代收代付」為出國經費來源</t>
    </r>
    <r>
      <rPr>
        <sz val="6"/>
        <color indexed="8"/>
        <rFont val="Calibri"/>
        <family val="2"/>
      </rPr>
      <t>,</t>
    </r>
    <r>
      <rPr>
        <sz val="6"/>
        <color indexed="8"/>
        <rFont val="細明體"/>
        <family val="3"/>
      </rPr>
      <t>無需繳交報告。</t>
    </r>
  </si>
  <si>
    <t>00026278
短發253元旅費</t>
  </si>
  <si>
    <t>00026537
收回禮品交際費(雜費)</t>
  </si>
  <si>
    <t>00026520
收回禮品交際費(雜費)</t>
  </si>
  <si>
    <t>00026519
收回禮品交際費(雜費)</t>
  </si>
  <si>
    <t>00026532
收回禮品交際費(雜費)</t>
  </si>
  <si>
    <t>00026504
收回禮品交際費(雜費)</t>
  </si>
  <si>
    <r>
      <t xml:space="preserve">00028406
</t>
    </r>
    <r>
      <rPr>
        <sz val="8"/>
        <color indexed="8"/>
        <rFont val="細明體"/>
        <family val="3"/>
      </rPr>
      <t>多年期計畫尚未結案併期末報告一併繳交</t>
    </r>
  </si>
  <si>
    <r>
      <t xml:space="preserve">00028416
</t>
    </r>
    <r>
      <rPr>
        <sz val="8"/>
        <color indexed="8"/>
        <rFont val="細明體"/>
        <family val="3"/>
      </rPr>
      <t>多年期計畫尚未結案併期末報告一併繳交</t>
    </r>
  </si>
  <si>
    <r>
      <t xml:space="preserve">00028484
</t>
    </r>
    <r>
      <rPr>
        <sz val="8"/>
        <color indexed="8"/>
        <rFont val="細明體"/>
        <family val="3"/>
      </rPr>
      <t>多年期計畫尚未結案併期末報告一併繳交</t>
    </r>
  </si>
  <si>
    <r>
      <t xml:space="preserve">00028663
</t>
    </r>
    <r>
      <rPr>
        <sz val="8"/>
        <color indexed="8"/>
        <rFont val="細明體"/>
        <family val="3"/>
      </rPr>
      <t>多年期計畫尚未結案併期末報告一併繳交</t>
    </r>
  </si>
  <si>
    <r>
      <t xml:space="preserve">00026866
</t>
    </r>
    <r>
      <rPr>
        <sz val="8"/>
        <color indexed="8"/>
        <rFont val="細明體"/>
        <family val="3"/>
      </rPr>
      <t>多年期計畫尚未結案併期末報告一併繳交</t>
    </r>
  </si>
  <si>
    <r>
      <t xml:space="preserve">00028865
</t>
    </r>
    <r>
      <rPr>
        <sz val="8"/>
        <color indexed="8"/>
        <rFont val="細明體"/>
        <family val="3"/>
      </rPr>
      <t>多年期計畫尚未結案併期末報告一併繳交</t>
    </r>
  </si>
  <si>
    <r>
      <t xml:space="preserve">00031644
</t>
    </r>
    <r>
      <rPr>
        <sz val="8"/>
        <color indexed="8"/>
        <rFont val="細明體"/>
        <family val="3"/>
      </rPr>
      <t>多年期計畫尚未結案併期末報告一併繳交</t>
    </r>
  </si>
  <si>
    <r>
      <t xml:space="preserve">00032724
</t>
    </r>
    <r>
      <rPr>
        <sz val="8"/>
        <color indexed="8"/>
        <rFont val="細明體"/>
        <family val="3"/>
      </rPr>
      <t>補助單位未要求繳交</t>
    </r>
    <r>
      <rPr>
        <sz val="8"/>
        <color indexed="8"/>
        <rFont val="Calibri"/>
        <family val="2"/>
      </rPr>
      <t>,</t>
    </r>
    <r>
      <rPr>
        <sz val="8"/>
        <color indexed="8"/>
        <rFont val="細明體"/>
        <family val="3"/>
      </rPr>
      <t>故無須提出報告</t>
    </r>
  </si>
  <si>
    <r>
      <t>赴美國</t>
    </r>
    <r>
      <rPr>
        <sz val="6"/>
        <rFont val="Calibri"/>
        <family val="2"/>
      </rPr>
      <t xml:space="preserve">Rutgers </t>
    </r>
    <r>
      <rPr>
        <sz val="6"/>
        <rFont val="細明體"/>
        <family val="3"/>
      </rPr>
      <t>大學參加國際學術研討會議和會前</t>
    </r>
    <r>
      <rPr>
        <sz val="6"/>
        <rFont val="Calibri"/>
        <family val="2"/>
      </rPr>
      <t>workshop.</t>
    </r>
    <r>
      <rPr>
        <sz val="6"/>
        <rFont val="細明體"/>
        <family val="3"/>
      </rPr>
      <t>會議名稱</t>
    </r>
    <r>
      <rPr>
        <sz val="6"/>
        <rFont val="Calibri"/>
        <family val="2"/>
      </rPr>
      <t>: “Ways of Belonging in Late Imperial and Modern China” .</t>
    </r>
    <r>
      <rPr>
        <sz val="6"/>
        <rFont val="細明體"/>
        <family val="3"/>
      </rPr>
      <t>籌備會議</t>
    </r>
    <r>
      <rPr>
        <sz val="6"/>
        <rFont val="Calibri"/>
        <family val="2"/>
      </rPr>
      <t>2</t>
    </r>
    <r>
      <rPr>
        <sz val="6"/>
        <rFont val="細明體"/>
        <family val="3"/>
      </rPr>
      <t>月</t>
    </r>
    <r>
      <rPr>
        <sz val="6"/>
        <rFont val="Calibri"/>
        <family val="2"/>
      </rPr>
      <t>3-4</t>
    </r>
    <r>
      <rPr>
        <sz val="6"/>
        <rFont val="細明體"/>
        <family val="3"/>
      </rPr>
      <t>號</t>
    </r>
    <r>
      <rPr>
        <sz val="6"/>
        <rFont val="Calibri"/>
        <family val="2"/>
      </rPr>
      <t>,</t>
    </r>
    <r>
      <rPr>
        <sz val="6"/>
        <rFont val="細明體"/>
        <family val="3"/>
      </rPr>
      <t>會議</t>
    </r>
    <r>
      <rPr>
        <sz val="6"/>
        <rFont val="Calibri"/>
        <family val="2"/>
      </rPr>
      <t>2</t>
    </r>
    <r>
      <rPr>
        <sz val="6"/>
        <rFont val="細明體"/>
        <family val="3"/>
      </rPr>
      <t>月</t>
    </r>
    <r>
      <rPr>
        <sz val="6"/>
        <rFont val="Calibri"/>
        <family val="2"/>
      </rPr>
      <t>12-13</t>
    </r>
    <r>
      <rPr>
        <sz val="6"/>
        <rFont val="細明體"/>
        <family val="3"/>
      </rPr>
      <t>號</t>
    </r>
    <r>
      <rPr>
        <sz val="6"/>
        <rFont val="Calibri"/>
        <family val="2"/>
      </rPr>
      <t>.</t>
    </r>
    <r>
      <rPr>
        <sz val="6"/>
        <rFont val="細明體"/>
        <family val="3"/>
      </rPr>
      <t>本研究計畫及會議由加州大學</t>
    </r>
    <r>
      <rPr>
        <sz val="6"/>
        <rFont val="Calibri"/>
        <family val="2"/>
      </rPr>
      <t xml:space="preserve">SANTA CRUZ </t>
    </r>
    <r>
      <rPr>
        <sz val="6"/>
        <rFont val="細明體"/>
        <family val="3"/>
      </rPr>
      <t>胡明輝教授</t>
    </r>
    <r>
      <rPr>
        <sz val="6"/>
        <rFont val="Calibri"/>
        <family val="2"/>
      </rPr>
      <t xml:space="preserve">, RUTGERS </t>
    </r>
    <r>
      <rPr>
        <sz val="6"/>
        <rFont val="細明體"/>
        <family val="3"/>
      </rPr>
      <t>涂經詒教授</t>
    </r>
    <r>
      <rPr>
        <sz val="6"/>
        <rFont val="Calibri"/>
        <family val="2"/>
      </rPr>
      <t>,Dietrich Tschanz,</t>
    </r>
    <r>
      <rPr>
        <sz val="6"/>
        <rFont val="細明體"/>
        <family val="3"/>
      </rPr>
      <t>和本人共同籌辦。</t>
    </r>
  </si>
  <si>
    <r>
      <t>赴美國</t>
    </r>
    <r>
      <rPr>
        <sz val="7"/>
        <rFont val="新細明體"/>
        <family val="1"/>
      </rPr>
      <t>Rutgers大學參加9月12-16號舉辦的國際學術會議"The Material Culture of Everyday Life in Late Imperial China".擔任主題講演,發表論文,並討論明年雙邊合作會議事項。</t>
    </r>
  </si>
  <si>
    <r>
      <t>出席國際學術會議－參加亞洲研究學會年會，</t>
    </r>
    <r>
      <rPr>
        <sz val="7"/>
        <rFont val="新細明體"/>
        <family val="1"/>
      </rPr>
      <t>1) 發表論文；2) 參加Twentieth Century China 期刊編輯會議；3) 推廣2017年本所舉辦「世界史中的中華婦女」國際學術研討會。</t>
    </r>
  </si>
  <si>
    <r>
      <t xml:space="preserve">00029549
</t>
    </r>
    <r>
      <rPr>
        <sz val="8"/>
        <rFont val="細明體"/>
        <family val="3"/>
      </rPr>
      <t>多年期計畫尚未結案併期末報告一併繳交。</t>
    </r>
  </si>
  <si>
    <r>
      <t xml:space="preserve">00031004
</t>
    </r>
    <r>
      <rPr>
        <sz val="8"/>
        <rFont val="細明體"/>
        <family val="3"/>
      </rPr>
      <t>多年期計畫尚未結案併期末報告一併繳交。</t>
    </r>
  </si>
  <si>
    <r>
      <t xml:space="preserve">00026770
</t>
    </r>
    <r>
      <rPr>
        <sz val="8"/>
        <color indexed="8"/>
        <rFont val="細明體"/>
        <family val="3"/>
      </rPr>
      <t>多年期計畫尚未結案併期末報告一併繳交</t>
    </r>
  </si>
  <si>
    <r>
      <t>出國計畫名稱：模型平均法的統計推論。</t>
    </r>
    <r>
      <rPr>
        <sz val="8.5"/>
        <color indexed="8"/>
        <rFont val="新細明體"/>
        <family val="1"/>
      </rPr>
      <t xml:space="preserve"> 本計畫下之論文Inference after Model Averaging in Linear Regression Models於該會議中發表。</t>
    </r>
  </si>
  <si>
    <r>
      <t>房貸成數限制對房價的影響</t>
    </r>
    <r>
      <rPr>
        <sz val="10"/>
        <color indexed="8"/>
        <rFont val="新細明體"/>
        <family val="1"/>
      </rPr>
      <t>_MOST 104-2410-H-001-094</t>
    </r>
  </si>
  <si>
    <r>
      <t xml:space="preserve">00029953
</t>
    </r>
    <r>
      <rPr>
        <sz val="8"/>
        <color indexed="8"/>
        <rFont val="細明體"/>
        <family val="3"/>
      </rPr>
      <t>多年期計畫尚未結案併期末報告一併繳交</t>
    </r>
  </si>
  <si>
    <r>
      <t xml:space="preserve">00032850
</t>
    </r>
    <r>
      <rPr>
        <sz val="8"/>
        <color indexed="8"/>
        <rFont val="細明體"/>
        <family val="3"/>
      </rPr>
      <t>多年期計畫尚未結案併期末報告一併繳交</t>
    </r>
  </si>
  <si>
    <r>
      <t xml:space="preserve">00032275
</t>
    </r>
    <r>
      <rPr>
        <sz val="8"/>
        <color indexed="8"/>
        <rFont val="細明體"/>
        <family val="3"/>
      </rPr>
      <t>多年期計畫尚未結案併期末報告一併繳交</t>
    </r>
  </si>
  <si>
    <r>
      <t>00029113</t>
    </r>
    <r>
      <rPr>
        <sz val="6"/>
        <color indexed="8"/>
        <rFont val="細明體"/>
        <family val="3"/>
      </rPr>
      <t>計畫尚在執行中，待計畫結束後，一併繳交出國報告。</t>
    </r>
    <r>
      <rPr>
        <sz val="6"/>
        <color indexed="8"/>
        <rFont val="Calibri"/>
        <family val="2"/>
      </rPr>
      <t xml:space="preserve"> </t>
    </r>
    <r>
      <rPr>
        <sz val="6"/>
        <color indexed="8"/>
        <rFont val="細明體"/>
        <family val="3"/>
      </rPr>
      <t>外交部研究設計會補助機票、註冊、手續、保險、生活費（</t>
    </r>
    <r>
      <rPr>
        <sz val="6"/>
        <color indexed="8"/>
        <rFont val="Calibri"/>
        <family val="2"/>
      </rPr>
      <t>6</t>
    </r>
    <r>
      <rPr>
        <sz val="6"/>
        <color indexed="8"/>
        <rFont val="細明體"/>
        <family val="3"/>
      </rPr>
      <t>月</t>
    </r>
    <r>
      <rPr>
        <sz val="6"/>
        <color indexed="8"/>
        <rFont val="Calibri"/>
        <family val="2"/>
      </rPr>
      <t>13-16</t>
    </r>
    <r>
      <rPr>
        <sz val="6"/>
        <color indexed="8"/>
        <rFont val="細明體"/>
        <family val="3"/>
      </rPr>
      <t>日，會議前後一日）。</t>
    </r>
  </si>
  <si>
    <r>
      <t xml:space="preserve">00027286
</t>
    </r>
    <r>
      <rPr>
        <sz val="8"/>
        <color indexed="8"/>
        <rFont val="細明體"/>
        <family val="3"/>
      </rPr>
      <t>多年期未結案</t>
    </r>
    <r>
      <rPr>
        <sz val="8"/>
        <color indexed="8"/>
        <rFont val="Calibri"/>
        <family val="2"/>
      </rPr>
      <t>,</t>
    </r>
    <r>
      <rPr>
        <sz val="8"/>
        <color indexed="8"/>
        <rFont val="細明體"/>
        <family val="3"/>
      </rPr>
      <t>報告於結案時一併繳交</t>
    </r>
  </si>
  <si>
    <r>
      <t xml:space="preserve">00027721
</t>
    </r>
    <r>
      <rPr>
        <sz val="6.5"/>
        <color indexed="8"/>
        <rFont val="細明體"/>
        <family val="3"/>
      </rPr>
      <t>補助單位為財團法人大眾教育基金會未要求繳交</t>
    </r>
    <r>
      <rPr>
        <sz val="6.5"/>
        <color indexed="8"/>
        <rFont val="Calibri"/>
        <family val="2"/>
      </rPr>
      <t>,</t>
    </r>
    <r>
      <rPr>
        <sz val="6.5"/>
        <color indexed="8"/>
        <rFont val="細明體"/>
        <family val="3"/>
      </rPr>
      <t>故無須提出報告。</t>
    </r>
  </si>
  <si>
    <r>
      <t xml:space="preserve">00030559
</t>
    </r>
    <r>
      <rPr>
        <sz val="7"/>
        <color indexed="8"/>
        <rFont val="細明體"/>
        <family val="3"/>
      </rPr>
      <t>未結案</t>
    </r>
    <r>
      <rPr>
        <sz val="7"/>
        <color indexed="8"/>
        <rFont val="Calibri"/>
        <family val="2"/>
      </rPr>
      <t>,</t>
    </r>
    <r>
      <rPr>
        <sz val="7"/>
        <color indexed="8"/>
        <rFont val="細明體"/>
        <family val="3"/>
      </rPr>
      <t>依科技部規定於計畫執行期間內繳交</t>
    </r>
    <r>
      <rPr>
        <sz val="7"/>
        <color indexed="8"/>
        <rFont val="Calibri"/>
        <family val="2"/>
      </rPr>
      <t>,</t>
    </r>
    <r>
      <rPr>
        <sz val="7"/>
        <color indexed="8"/>
        <rFont val="細明體"/>
        <family val="3"/>
      </rPr>
      <t>故報告未逾期</t>
    </r>
  </si>
  <si>
    <r>
      <t>00032398</t>
    </r>
    <r>
      <rPr>
        <sz val="6"/>
        <color indexed="8"/>
        <rFont val="細明體"/>
        <family val="3"/>
      </rPr>
      <t>依科技部規定於計畫執行期間內繳交</t>
    </r>
    <r>
      <rPr>
        <sz val="6"/>
        <color indexed="8"/>
        <rFont val="Calibri"/>
        <family val="2"/>
      </rPr>
      <t>,</t>
    </r>
    <r>
      <rPr>
        <sz val="6"/>
        <color indexed="8"/>
        <rFont val="細明體"/>
        <family val="3"/>
      </rPr>
      <t>故報告未逾期</t>
    </r>
    <r>
      <rPr>
        <sz val="6"/>
        <color indexed="8"/>
        <rFont val="Calibri"/>
        <family val="2"/>
      </rPr>
      <t>,</t>
    </r>
    <r>
      <rPr>
        <sz val="6"/>
        <color indexed="8"/>
        <rFont val="細明體"/>
        <family val="3"/>
      </rPr>
      <t>其中不足款新台幣</t>
    </r>
    <r>
      <rPr>
        <sz val="6"/>
        <color indexed="8"/>
        <rFont val="Calibri"/>
        <family val="2"/>
      </rPr>
      <t>40,000</t>
    </r>
    <r>
      <rPr>
        <sz val="6"/>
        <color indexed="8"/>
        <rFont val="細明體"/>
        <family val="3"/>
      </rPr>
      <t>元申請由該計畫業務費流用</t>
    </r>
  </si>
  <si>
    <r>
      <rPr>
        <sz val="8"/>
        <color indexed="8"/>
        <rFont val="新細明體"/>
        <family val="1"/>
      </rPr>
      <t>臺灣與俄羅斯學術研討會(科技部雙邊協議下)；以東亞區域合作與整合為主題，進行第二次台灣與俄羅斯人文與社會科學學界之年度學術交流研討會。</t>
    </r>
  </si>
  <si>
    <r>
      <rPr>
        <sz val="6.5"/>
        <color indexed="8"/>
        <rFont val="新細明體"/>
        <family val="1"/>
      </rPr>
      <t>臺灣與俄羅斯學術研討會(科技部雙邊協議下)；本次會議為科技部與俄羅斯人文科學基金會(RFH)雙邊協議下的年度雙邊研討會，匯集了台俄雙方區域研究的學者，將對東亞整合的三個面向─安全、經濟、文化─進行探討，期能搭建與維繫台俄學術合作的橋樑。</t>
    </r>
  </si>
  <si>
    <r>
      <rPr>
        <sz val="6.5"/>
        <color indexed="8"/>
        <rFont val="新細明體"/>
        <family val="1"/>
      </rPr>
      <t>計畫編號:104-2919-I-001-004-A1 科技部補助團隊召集人吳重禮研究員及團員蔡中民副教授、蔡佳泓研究員、楊婉瑩教授、鄭子真副教授共5名專家學者，赴日本東京參加「日本政治學會2015年度總會.研究大會」。</t>
    </r>
  </si>
  <si>
    <r>
      <t>00028322.105</t>
    </r>
    <r>
      <rPr>
        <sz val="6"/>
        <color indexed="8"/>
        <rFont val="細明體"/>
        <family val="3"/>
      </rPr>
      <t>年</t>
    </r>
    <r>
      <rPr>
        <sz val="6"/>
        <color indexed="8"/>
        <rFont val="Calibri"/>
        <family val="2"/>
      </rPr>
      <t>4</t>
    </r>
    <r>
      <rPr>
        <sz val="6"/>
        <color indexed="8"/>
        <rFont val="細明體"/>
        <family val="3"/>
      </rPr>
      <t>月</t>
    </r>
    <r>
      <rPr>
        <sz val="6"/>
        <color indexed="8"/>
        <rFont val="Calibri"/>
        <family val="2"/>
      </rPr>
      <t>29</t>
    </r>
    <r>
      <rPr>
        <sz val="6"/>
        <color indexed="8"/>
        <rFont val="細明體"/>
        <family val="3"/>
      </rPr>
      <t>日經中心主管同意本案下述申請</t>
    </r>
    <r>
      <rPr>
        <sz val="6"/>
        <color indexed="8"/>
        <rFont val="Calibri"/>
        <family val="2"/>
      </rPr>
      <t>:</t>
    </r>
    <r>
      <rPr>
        <sz val="6"/>
        <color indexed="8"/>
        <rFont val="細明體"/>
        <family val="3"/>
      </rPr>
      <t>但會前突遇家裡幼兒急性腸胃炎併脫水需留院觀察治療，因而需陪同內人協助照顧家中兩名幼兒，故不克出席該國際會議。行前已繳交之註冊費以及原預訂</t>
    </r>
    <r>
      <rPr>
        <sz val="6"/>
        <color indexed="8"/>
        <rFont val="Calibri"/>
        <family val="2"/>
      </rPr>
      <t>105</t>
    </r>
    <r>
      <rPr>
        <sz val="6"/>
        <color indexed="8"/>
        <rFont val="細明體"/>
        <family val="3"/>
      </rPr>
      <t>年</t>
    </r>
    <r>
      <rPr>
        <sz val="6"/>
        <color indexed="8"/>
        <rFont val="Calibri"/>
        <family val="2"/>
      </rPr>
      <t>4</t>
    </r>
    <r>
      <rPr>
        <sz val="6"/>
        <color indexed="8"/>
        <rFont val="細明體"/>
        <family val="3"/>
      </rPr>
      <t>月</t>
    </r>
    <r>
      <rPr>
        <sz val="6"/>
        <color indexed="8"/>
        <rFont val="Calibri"/>
        <family val="2"/>
      </rPr>
      <t>16</t>
    </r>
    <r>
      <rPr>
        <sz val="6"/>
        <color indexed="8"/>
        <rFont val="細明體"/>
        <family val="3"/>
      </rPr>
      <t>至</t>
    </r>
    <r>
      <rPr>
        <sz val="6"/>
        <color indexed="8"/>
        <rFont val="Calibri"/>
        <family val="2"/>
      </rPr>
      <t>4</t>
    </r>
    <r>
      <rPr>
        <sz val="6"/>
        <color indexed="8"/>
        <rFont val="細明體"/>
        <family val="3"/>
      </rPr>
      <t>月</t>
    </r>
    <r>
      <rPr>
        <sz val="6"/>
        <color indexed="8"/>
        <rFont val="Calibri"/>
        <family val="2"/>
      </rPr>
      <t>21</t>
    </r>
    <r>
      <rPr>
        <sz val="6"/>
        <color indexed="8"/>
        <rFont val="細明體"/>
        <family val="3"/>
      </rPr>
      <t>日之住宿退房手續費，由本人科技部畫支付。</t>
    </r>
  </si>
  <si>
    <r>
      <rPr>
        <sz val="10"/>
        <color indexed="8"/>
        <rFont val="新細明體"/>
        <family val="1"/>
      </rPr>
      <t>本案00032968應付帳款多估11,592元.</t>
    </r>
  </si>
  <si>
    <r>
      <t xml:space="preserve">00027617
</t>
    </r>
    <r>
      <rPr>
        <sz val="6.5"/>
        <color indexed="8"/>
        <rFont val="細明體"/>
        <family val="3"/>
      </rPr>
      <t>依科技部補助專題研究計畫作業要點第</t>
    </r>
    <r>
      <rPr>
        <sz val="6.5"/>
        <color indexed="8"/>
        <rFont val="Calibri"/>
        <family val="2"/>
      </rPr>
      <t>19</t>
    </r>
    <r>
      <rPr>
        <sz val="6.5"/>
        <color indexed="8"/>
        <rFont val="細明體"/>
        <family val="3"/>
      </rPr>
      <t>點規定</t>
    </r>
    <r>
      <rPr>
        <sz val="6.5"/>
        <color indexed="8"/>
        <rFont val="Calibri"/>
        <family val="2"/>
      </rPr>
      <t>,</t>
    </r>
    <r>
      <rPr>
        <sz val="6.5"/>
        <color indexed="8"/>
        <rFont val="細明體"/>
        <family val="3"/>
      </rPr>
      <t>報告繳交未逾期</t>
    </r>
  </si>
  <si>
    <r>
      <t xml:space="preserve">00027794
</t>
    </r>
    <r>
      <rPr>
        <sz val="6.5"/>
        <color indexed="8"/>
        <rFont val="細明體"/>
        <family val="3"/>
      </rPr>
      <t>依科技部補助專題研究計畫作業要點第</t>
    </r>
    <r>
      <rPr>
        <sz val="6.5"/>
        <color indexed="8"/>
        <rFont val="Calibri"/>
        <family val="2"/>
      </rPr>
      <t>19</t>
    </r>
    <r>
      <rPr>
        <sz val="6.5"/>
        <color indexed="8"/>
        <rFont val="細明體"/>
        <family val="3"/>
      </rPr>
      <t>點規定</t>
    </r>
    <r>
      <rPr>
        <sz val="6.5"/>
        <color indexed="8"/>
        <rFont val="Calibri"/>
        <family val="2"/>
      </rPr>
      <t>,</t>
    </r>
    <r>
      <rPr>
        <sz val="6.5"/>
        <color indexed="8"/>
        <rFont val="細明體"/>
        <family val="3"/>
      </rPr>
      <t>報告繳交未逾期</t>
    </r>
  </si>
  <si>
    <r>
      <t xml:space="preserve">00026788
</t>
    </r>
    <r>
      <rPr>
        <sz val="6.5"/>
        <color indexed="8"/>
        <rFont val="細明體"/>
        <family val="3"/>
      </rPr>
      <t>依科技部補助專題研究計畫作業要點第</t>
    </r>
    <r>
      <rPr>
        <sz val="6.5"/>
        <color indexed="8"/>
        <rFont val="Calibri"/>
        <family val="2"/>
      </rPr>
      <t>19</t>
    </r>
    <r>
      <rPr>
        <sz val="6.5"/>
        <color indexed="8"/>
        <rFont val="細明體"/>
        <family val="3"/>
      </rPr>
      <t>點規定</t>
    </r>
    <r>
      <rPr>
        <sz val="6.5"/>
        <color indexed="8"/>
        <rFont val="Calibri"/>
        <family val="2"/>
      </rPr>
      <t>,</t>
    </r>
    <r>
      <rPr>
        <sz val="6.5"/>
        <color indexed="8"/>
        <rFont val="細明體"/>
        <family val="3"/>
      </rPr>
      <t>報告繳交未逾期</t>
    </r>
  </si>
  <si>
    <r>
      <t xml:space="preserve">00029087
</t>
    </r>
    <r>
      <rPr>
        <sz val="6.5"/>
        <color indexed="8"/>
        <rFont val="細明體"/>
        <family val="3"/>
      </rPr>
      <t>依科技部補助專題研究計畫作業要點第</t>
    </r>
    <r>
      <rPr>
        <sz val="6.5"/>
        <color indexed="8"/>
        <rFont val="Calibri"/>
        <family val="2"/>
      </rPr>
      <t>19</t>
    </r>
    <r>
      <rPr>
        <sz val="6.5"/>
        <color indexed="8"/>
        <rFont val="細明體"/>
        <family val="3"/>
      </rPr>
      <t>點規定</t>
    </r>
    <r>
      <rPr>
        <sz val="6.5"/>
        <color indexed="8"/>
        <rFont val="Calibri"/>
        <family val="2"/>
      </rPr>
      <t>,</t>
    </r>
    <r>
      <rPr>
        <sz val="6.5"/>
        <color indexed="8"/>
        <rFont val="細明體"/>
        <family val="3"/>
      </rPr>
      <t>報告繳交未逾期</t>
    </r>
  </si>
  <si>
    <r>
      <t xml:space="preserve">00028816
</t>
    </r>
    <r>
      <rPr>
        <sz val="6.5"/>
        <color indexed="8"/>
        <rFont val="細明體"/>
        <family val="3"/>
      </rPr>
      <t>依科技部補助專題研究計畫作業要點第</t>
    </r>
    <r>
      <rPr>
        <sz val="6.5"/>
        <color indexed="8"/>
        <rFont val="Calibri"/>
        <family val="2"/>
      </rPr>
      <t>19</t>
    </r>
    <r>
      <rPr>
        <sz val="6.5"/>
        <color indexed="8"/>
        <rFont val="細明體"/>
        <family val="3"/>
      </rPr>
      <t>點規定</t>
    </r>
    <r>
      <rPr>
        <sz val="6.5"/>
        <color indexed="8"/>
        <rFont val="Calibri"/>
        <family val="2"/>
      </rPr>
      <t>,</t>
    </r>
    <r>
      <rPr>
        <sz val="6.5"/>
        <color indexed="8"/>
        <rFont val="細明體"/>
        <family val="3"/>
      </rPr>
      <t>報告繳交未逾期</t>
    </r>
  </si>
  <si>
    <r>
      <t xml:space="preserve">00029651
</t>
    </r>
    <r>
      <rPr>
        <sz val="6.5"/>
        <color indexed="8"/>
        <rFont val="細明體"/>
        <family val="3"/>
      </rPr>
      <t>依科技部補助專題研究計畫作業要點第</t>
    </r>
    <r>
      <rPr>
        <sz val="6.5"/>
        <color indexed="8"/>
        <rFont val="Calibri"/>
        <family val="2"/>
      </rPr>
      <t>19</t>
    </r>
    <r>
      <rPr>
        <sz val="6.5"/>
        <color indexed="8"/>
        <rFont val="細明體"/>
        <family val="3"/>
      </rPr>
      <t>點規定</t>
    </r>
    <r>
      <rPr>
        <sz val="6.5"/>
        <color indexed="8"/>
        <rFont val="Calibri"/>
        <family val="2"/>
      </rPr>
      <t>,</t>
    </r>
    <r>
      <rPr>
        <sz val="6.5"/>
        <color indexed="8"/>
        <rFont val="細明體"/>
        <family val="3"/>
      </rPr>
      <t>報告繳交未逾期</t>
    </r>
  </si>
  <si>
    <r>
      <t xml:space="preserve">00029100
</t>
    </r>
    <r>
      <rPr>
        <sz val="6.5"/>
        <color indexed="8"/>
        <rFont val="細明體"/>
        <family val="3"/>
      </rPr>
      <t>依科技部補助專題研究計畫作業要點第</t>
    </r>
    <r>
      <rPr>
        <sz val="6.5"/>
        <color indexed="8"/>
        <rFont val="Calibri"/>
        <family val="2"/>
      </rPr>
      <t>19</t>
    </r>
    <r>
      <rPr>
        <sz val="6.5"/>
        <color indexed="8"/>
        <rFont val="細明體"/>
        <family val="3"/>
      </rPr>
      <t>點規定</t>
    </r>
    <r>
      <rPr>
        <sz val="6.5"/>
        <color indexed="8"/>
        <rFont val="Calibri"/>
        <family val="2"/>
      </rPr>
      <t>,</t>
    </r>
    <r>
      <rPr>
        <sz val="6.5"/>
        <color indexed="8"/>
        <rFont val="細明體"/>
        <family val="3"/>
      </rPr>
      <t>報告繳交未逾期</t>
    </r>
  </si>
  <si>
    <r>
      <t>00030142</t>
    </r>
    <r>
      <rPr>
        <sz val="5.5"/>
        <color indexed="8"/>
        <rFont val="細明體"/>
        <family val="3"/>
      </rPr>
      <t>其中，</t>
    </r>
    <r>
      <rPr>
        <sz val="5.5"/>
        <color indexed="8"/>
        <rFont val="Calibri"/>
        <family val="2"/>
      </rPr>
      <t>50000</t>
    </r>
    <r>
      <rPr>
        <sz val="5.5"/>
        <color indexed="8"/>
        <rFont val="細明體"/>
        <family val="3"/>
      </rPr>
      <t>元經費申請由個人所內分配經費支付，不足</t>
    </r>
    <r>
      <rPr>
        <sz val="5.5"/>
        <color indexed="8"/>
        <rFont val="Calibri"/>
        <family val="2"/>
      </rPr>
      <t>35520</t>
    </r>
    <r>
      <rPr>
        <sz val="5.5"/>
        <color indexed="8"/>
        <rFont val="細明體"/>
        <family val="3"/>
      </rPr>
      <t>元不分則由個人科技部計畫結餘款經費支付，共計</t>
    </r>
    <r>
      <rPr>
        <sz val="5.5"/>
        <color indexed="8"/>
        <rFont val="Calibri"/>
        <family val="2"/>
      </rPr>
      <t>85520</t>
    </r>
    <r>
      <rPr>
        <sz val="5.5"/>
        <color indexed="8"/>
        <rFont val="細明體"/>
        <family val="3"/>
      </rPr>
      <t>元。</t>
    </r>
  </si>
  <si>
    <r>
      <t xml:space="preserve">00030200
</t>
    </r>
    <r>
      <rPr>
        <sz val="7"/>
        <color indexed="8"/>
        <rFont val="細明體"/>
        <family val="3"/>
      </rPr>
      <t>屬跨年度出國案</t>
    </r>
    <r>
      <rPr>
        <sz val="7"/>
        <color indexed="8"/>
        <rFont val="Calibri"/>
        <family val="2"/>
      </rPr>
      <t>,</t>
    </r>
    <r>
      <rPr>
        <sz val="7"/>
        <color indexed="8"/>
        <rFont val="細明體"/>
        <family val="3"/>
      </rPr>
      <t>出國案仍進行中。系統要求繳交報告，故先繳交去程報告。</t>
    </r>
  </si>
  <si>
    <r>
      <t xml:space="preserve">00028131
</t>
    </r>
    <r>
      <rPr>
        <sz val="10"/>
        <color indexed="8"/>
        <rFont val="細明體"/>
        <family val="3"/>
      </rPr>
      <t>待</t>
    </r>
    <r>
      <rPr>
        <sz val="10"/>
        <color indexed="8"/>
        <rFont val="Calibri"/>
        <family val="2"/>
      </rPr>
      <t>107</t>
    </r>
    <r>
      <rPr>
        <sz val="10"/>
        <color indexed="8"/>
        <rFont val="細明體"/>
        <family val="3"/>
      </rPr>
      <t>年回國後再繳交報告</t>
    </r>
  </si>
  <si>
    <r>
      <t xml:space="preserve">00027762
</t>
    </r>
    <r>
      <rPr>
        <sz val="10"/>
        <color indexed="8"/>
        <rFont val="細明體"/>
        <family val="3"/>
      </rPr>
      <t>待</t>
    </r>
    <r>
      <rPr>
        <sz val="10"/>
        <color indexed="8"/>
        <rFont val="Calibri"/>
        <family val="2"/>
      </rPr>
      <t>107</t>
    </r>
    <r>
      <rPr>
        <sz val="10"/>
        <color indexed="8"/>
        <rFont val="細明體"/>
        <family val="3"/>
      </rPr>
      <t>年回國後再繳交報告</t>
    </r>
  </si>
  <si>
    <r>
      <t>00029883
106.02.10</t>
    </r>
    <r>
      <rPr>
        <sz val="8"/>
        <color indexed="8"/>
        <rFont val="新細明體"/>
        <family val="1"/>
      </rPr>
      <t>＃616039收回（機票升等）差額</t>
    </r>
  </si>
  <si>
    <r>
      <t>00026328
104</t>
    </r>
    <r>
      <rPr>
        <sz val="6.5"/>
        <color indexed="8"/>
        <rFont val="新細明體"/>
        <family val="1"/>
      </rPr>
      <t>年帳上三級科目誤列為「國外旅費」，於105.01.21＃615031轉帳調整。</t>
    </r>
  </si>
  <si>
    <r>
      <rPr>
        <sz val="10"/>
        <color indexed="8"/>
        <rFont val="新細明體"/>
        <family val="1"/>
      </rPr>
      <t>於105年11月10日至12月13日赴俄羅斯IACP,FEB RAS進行學術交流，並討論台俄合作計畫</t>
    </r>
  </si>
  <si>
    <r>
      <t>5</t>
    </r>
    <r>
      <rPr>
        <sz val="10"/>
        <color indexed="8"/>
        <rFont val="新細明體"/>
        <family val="1"/>
      </rPr>
      <t>月8日-5月23日至法國CNRS巴黎奈米科學中心(INSP)之Monique Combescot 教授,進行合作交流。</t>
    </r>
  </si>
  <si>
    <r>
      <t xml:space="preserve">00028421
</t>
    </r>
    <r>
      <rPr>
        <sz val="6.5"/>
        <color indexed="8"/>
        <rFont val="細明體"/>
        <family val="3"/>
      </rPr>
      <t>依科技部補助專題研究計畫作業要點第</t>
    </r>
    <r>
      <rPr>
        <sz val="6.5"/>
        <color indexed="8"/>
        <rFont val="Calibri"/>
        <family val="2"/>
      </rPr>
      <t>19</t>
    </r>
    <r>
      <rPr>
        <sz val="6.5"/>
        <color indexed="8"/>
        <rFont val="細明體"/>
        <family val="3"/>
      </rPr>
      <t>點規定</t>
    </r>
    <r>
      <rPr>
        <sz val="6.5"/>
        <color indexed="8"/>
        <rFont val="Calibri"/>
        <family val="2"/>
      </rPr>
      <t>,</t>
    </r>
    <r>
      <rPr>
        <sz val="6.5"/>
        <color indexed="8"/>
        <rFont val="細明體"/>
        <family val="3"/>
      </rPr>
      <t>報告繳交未逾期</t>
    </r>
  </si>
  <si>
    <r>
      <rPr>
        <sz val="10"/>
        <color indexed="8"/>
        <rFont val="新細明體"/>
        <family val="1"/>
      </rPr>
      <t>受邀參加2016 The International Union of Materials Research Societies-International Conference on Electronic Materials演講</t>
    </r>
  </si>
  <si>
    <t>製表日期：106.03.23</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</si>
</sst>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04]AM/PM\ hh:mm:ss"/>
    <numFmt numFmtId="182" formatCode="_-* #,##0.0_-;\-* #,##0.0_-;_-* &quot;-&quot;??_-;_-@_-"/>
    <numFmt numFmtId="183" formatCode="_-* #,##0_-;\-* #,##0_-;_-* &quot;-&quot;??_-;_-@_-"/>
    <numFmt numFmtId="184" formatCode="00000000"/>
    <numFmt numFmtId="185" formatCode="#,##0_ "/>
    <numFmt numFmtId="186" formatCode="0_);[Red]\(0\)"/>
    <numFmt numFmtId="187" formatCode="yyyy/m/d;@"/>
    <numFmt numFmtId="188" formatCode="0_ "/>
    <numFmt numFmtId="189" formatCode="[$-F800]dddd\,\ mmmm\ dd\,\ yyyy"/>
    <numFmt numFmtId="190" formatCode="yyyy&quot;年&quot;m&quot;月&quot;d&quot;日&quot;;@"/>
    <numFmt numFmtId="191" formatCode="mmm\-yyyy"/>
  </numFmts>
  <fonts count="111">
    <font>
      <sz val="12"/>
      <color theme="1"/>
      <name val="Calibri"/>
      <family val="1"/>
    </font>
    <font>
      <sz val="12"/>
      <color indexed="8"/>
      <name val="新細明體"/>
      <family val="1"/>
    </font>
    <font>
      <sz val="9"/>
      <name val="新細明體"/>
      <family val="1"/>
    </font>
    <font>
      <sz val="10"/>
      <color indexed="8"/>
      <name val="Calibri"/>
      <family val="2"/>
    </font>
    <font>
      <sz val="10"/>
      <name val="新細明體"/>
      <family val="1"/>
    </font>
    <font>
      <sz val="10"/>
      <color indexed="8"/>
      <name val="新細明體"/>
      <family val="1"/>
    </font>
    <font>
      <sz val="9"/>
      <name val="細明體"/>
      <family val="3"/>
    </font>
    <font>
      <sz val="9"/>
      <color indexed="8"/>
      <name val="新細明體"/>
      <family val="1"/>
    </font>
    <font>
      <sz val="7"/>
      <color indexed="8"/>
      <name val="新細明體"/>
      <family val="1"/>
    </font>
    <font>
      <b/>
      <sz val="12"/>
      <name val="標楷體"/>
      <family val="4"/>
    </font>
    <font>
      <sz val="8.5"/>
      <color indexed="8"/>
      <name val="細明體"/>
      <family val="3"/>
    </font>
    <font>
      <sz val="8.5"/>
      <color indexed="8"/>
      <name val="Calibri"/>
      <family val="2"/>
    </font>
    <font>
      <sz val="10"/>
      <color indexed="8"/>
      <name val="細明體"/>
      <family val="3"/>
    </font>
    <font>
      <sz val="8"/>
      <color indexed="8"/>
      <name val="細明體"/>
      <family val="3"/>
    </font>
    <font>
      <sz val="8"/>
      <color indexed="8"/>
      <name val="Calibri"/>
      <family val="2"/>
    </font>
    <font>
      <sz val="9"/>
      <color indexed="8"/>
      <name val="Calibri"/>
      <family val="2"/>
    </font>
    <font>
      <sz val="9"/>
      <color indexed="8"/>
      <name val="細明體"/>
      <family val="3"/>
    </font>
    <font>
      <sz val="7"/>
      <color indexed="8"/>
      <name val="細明體"/>
      <family val="3"/>
    </font>
    <font>
      <sz val="7"/>
      <color indexed="8"/>
      <name val="Calibri"/>
      <family val="2"/>
    </font>
    <font>
      <sz val="6"/>
      <color indexed="8"/>
      <name val="細明體"/>
      <family val="3"/>
    </font>
    <font>
      <sz val="6"/>
      <color indexed="8"/>
      <name val="Calibri"/>
      <family val="2"/>
    </font>
    <font>
      <sz val="8"/>
      <name val="細明體"/>
      <family val="3"/>
    </font>
    <font>
      <sz val="7"/>
      <name val="細明體"/>
      <family val="3"/>
    </font>
    <font>
      <sz val="10"/>
      <name val="Calibri"/>
      <family val="2"/>
    </font>
    <font>
      <sz val="10"/>
      <name val="細明體"/>
      <family val="3"/>
    </font>
    <font>
      <sz val="8"/>
      <name val="Calibri"/>
      <family val="2"/>
    </font>
    <font>
      <sz val="9.5"/>
      <color indexed="8"/>
      <name val="細明體"/>
      <family val="3"/>
    </font>
    <font>
      <sz val="9.5"/>
      <color indexed="8"/>
      <name val="Calibri"/>
      <family val="2"/>
    </font>
    <font>
      <sz val="7"/>
      <name val="Calibri"/>
      <family val="2"/>
    </font>
    <font>
      <sz val="8.5"/>
      <name val="細明體"/>
      <family val="3"/>
    </font>
    <font>
      <sz val="6.5"/>
      <name val="細明體"/>
      <family val="3"/>
    </font>
    <font>
      <sz val="6.5"/>
      <name val="Calibri"/>
      <family val="2"/>
    </font>
    <font>
      <sz val="6.5"/>
      <color indexed="8"/>
      <name val="細明體"/>
      <family val="3"/>
    </font>
    <font>
      <sz val="6.5"/>
      <color indexed="8"/>
      <name val="Calibri"/>
      <family val="2"/>
    </font>
    <font>
      <sz val="9"/>
      <name val="Calibri"/>
      <family val="2"/>
    </font>
    <font>
      <sz val="8.5"/>
      <name val="Calibri"/>
      <family val="2"/>
    </font>
    <font>
      <sz val="6"/>
      <name val="細明體"/>
      <family val="3"/>
    </font>
    <font>
      <sz val="8"/>
      <color indexed="8"/>
      <name val="新細明體"/>
      <family val="1"/>
    </font>
    <font>
      <sz val="6.5"/>
      <color indexed="8"/>
      <name val="新細明體"/>
      <family val="1"/>
    </font>
    <font>
      <sz val="6"/>
      <name val="Calibri"/>
      <family val="2"/>
    </font>
    <font>
      <sz val="7"/>
      <name val="新細明體"/>
      <family val="1"/>
    </font>
    <font>
      <sz val="8.5"/>
      <color indexed="8"/>
      <name val="新細明體"/>
      <family val="1"/>
    </font>
    <font>
      <sz val="5.5"/>
      <color indexed="8"/>
      <name val="細明體"/>
      <family val="3"/>
    </font>
    <font>
      <sz val="5.5"/>
      <color indexed="8"/>
      <name val="Calibri"/>
      <family val="2"/>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Times New Roman"/>
      <family val="1"/>
    </font>
    <font>
      <sz val="6"/>
      <color indexed="8"/>
      <name val="新細明體"/>
      <family val="1"/>
    </font>
    <font>
      <b/>
      <sz val="10"/>
      <color indexed="8"/>
      <name val="標楷體"/>
      <family val="4"/>
    </font>
    <font>
      <sz val="5.5"/>
      <color indexed="8"/>
      <name val="新細明體"/>
      <family val="1"/>
    </font>
    <font>
      <sz val="7.5"/>
      <color indexed="8"/>
      <name val="新細明體"/>
      <family val="1"/>
    </font>
    <font>
      <sz val="6"/>
      <name val="新細明體"/>
      <family val="1"/>
    </font>
    <font>
      <sz val="9.5"/>
      <color indexed="8"/>
      <name val="新細明體"/>
      <family val="1"/>
    </font>
    <font>
      <sz val="10"/>
      <color indexed="8"/>
      <name val="標楷體"/>
      <family val="4"/>
    </font>
    <font>
      <sz val="12"/>
      <color theme="0"/>
      <name val="Calibri"/>
      <family val="1"/>
    </font>
    <font>
      <sz val="12"/>
      <color rgb="FF000000"/>
      <name val="Calibri"/>
      <family val="1"/>
    </font>
    <font>
      <u val="single"/>
      <sz val="12"/>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sz val="10"/>
      <color rgb="FF000000"/>
      <name val="Calibri"/>
      <family val="1"/>
    </font>
    <font>
      <sz val="6"/>
      <color rgb="FF000000"/>
      <name val="Calibri"/>
      <family val="2"/>
    </font>
    <font>
      <sz val="10"/>
      <color theme="1"/>
      <name val="Times New Roman"/>
      <family val="1"/>
    </font>
    <font>
      <sz val="8"/>
      <color theme="1"/>
      <name val="Calibri"/>
      <family val="1"/>
    </font>
    <font>
      <sz val="9"/>
      <color theme="1"/>
      <name val="Calibri"/>
      <family val="1"/>
    </font>
    <font>
      <sz val="6"/>
      <color theme="1"/>
      <name val="Calibri"/>
      <family val="1"/>
    </font>
    <font>
      <sz val="7"/>
      <color theme="1"/>
      <name val="Calibri"/>
      <family val="1"/>
    </font>
    <font>
      <sz val="6.5"/>
      <color theme="1"/>
      <name val="Calibri"/>
      <family val="1"/>
    </font>
    <font>
      <b/>
      <sz val="10"/>
      <color theme="1"/>
      <name val="標楷體"/>
      <family val="4"/>
    </font>
    <font>
      <sz val="5.5"/>
      <color theme="1"/>
      <name val="Calibri"/>
      <family val="1"/>
    </font>
    <font>
      <sz val="8.5"/>
      <color theme="1"/>
      <name val="Calibri"/>
      <family val="1"/>
    </font>
    <font>
      <sz val="8"/>
      <color rgb="FF000000"/>
      <name val="Calibri"/>
      <family val="1"/>
    </font>
    <font>
      <sz val="9"/>
      <color rgb="FF000000"/>
      <name val="Calibri"/>
      <family val="1"/>
    </font>
    <font>
      <sz val="8.5"/>
      <color rgb="FF000000"/>
      <name val="Calibri"/>
      <family val="1"/>
    </font>
    <font>
      <sz val="7"/>
      <color rgb="FF000000"/>
      <name val="Calibri"/>
      <family val="1"/>
    </font>
    <font>
      <sz val="6.5"/>
      <color rgb="FF000000"/>
      <name val="Calibri"/>
      <family val="1"/>
    </font>
    <font>
      <sz val="7.5"/>
      <color theme="1"/>
      <name val="Calibri"/>
      <family val="1"/>
    </font>
    <font>
      <sz val="9.5"/>
      <color theme="1"/>
      <name val="Calibri"/>
      <family val="1"/>
    </font>
    <font>
      <sz val="10"/>
      <color theme="1"/>
      <name val="標楷體"/>
      <family val="4"/>
    </font>
    <font>
      <sz val="10"/>
      <color theme="1"/>
      <name val="細明體"/>
      <family val="3"/>
    </font>
    <font>
      <sz val="5.5"/>
      <color rgb="FF000000"/>
      <name val="Calibri"/>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72" fillId="0" borderId="0" applyNumberFormat="0" applyFill="0" applyBorder="0" applyAlignment="0" applyProtection="0"/>
    <xf numFmtId="0" fontId="73" fillId="20" borderId="0" applyNumberFormat="0" applyBorder="0" applyAlignment="0" applyProtection="0"/>
    <xf numFmtId="0" fontId="74" fillId="0" borderId="1" applyNumberFormat="0" applyFill="0" applyAlignment="0" applyProtection="0"/>
    <xf numFmtId="0" fontId="75" fillId="21" borderId="0" applyNumberFormat="0" applyBorder="0" applyAlignment="0" applyProtection="0"/>
    <xf numFmtId="9" fontId="0" fillId="0" borderId="0" applyFont="0" applyFill="0" applyBorder="0" applyAlignment="0" applyProtection="0"/>
    <xf numFmtId="0" fontId="7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3" applyNumberFormat="0" applyFill="0" applyAlignment="0" applyProtection="0"/>
    <xf numFmtId="0" fontId="0" fillId="23" borderId="4" applyNumberFormat="0" applyFon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80" fillId="0" borderId="0" applyNumberForma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30" borderId="2" applyNumberFormat="0" applyAlignment="0" applyProtection="0"/>
    <xf numFmtId="0" fontId="85" fillId="22" borderId="8" applyNumberFormat="0" applyAlignment="0" applyProtection="0"/>
    <xf numFmtId="0" fontId="86" fillId="31" borderId="9" applyNumberFormat="0" applyAlignment="0" applyProtection="0"/>
    <xf numFmtId="0" fontId="87" fillId="32" borderId="0" applyNumberFormat="0" applyBorder="0" applyAlignment="0" applyProtection="0"/>
    <xf numFmtId="0" fontId="88" fillId="0" borderId="0" applyNumberFormat="0" applyFill="0" applyBorder="0" applyAlignment="0" applyProtection="0"/>
  </cellStyleXfs>
  <cellXfs count="162">
    <xf numFmtId="0" fontId="0" fillId="0" borderId="0" xfId="0" applyFont="1" applyAlignment="1">
      <alignment vertical="center"/>
    </xf>
    <xf numFmtId="0" fontId="89" fillId="33" borderId="0" xfId="0" applyFont="1" applyFill="1" applyAlignment="1">
      <alignment vertical="center"/>
    </xf>
    <xf numFmtId="0" fontId="89" fillId="0" borderId="0" xfId="0" applyFont="1" applyFill="1" applyAlignment="1">
      <alignment vertical="center"/>
    </xf>
    <xf numFmtId="0" fontId="89" fillId="0" borderId="0" xfId="0" applyFont="1" applyAlignment="1">
      <alignment vertical="center"/>
    </xf>
    <xf numFmtId="0" fontId="89" fillId="0" borderId="0" xfId="0" applyFont="1" applyAlignment="1">
      <alignment horizontal="center" vertical="center"/>
    </xf>
    <xf numFmtId="0" fontId="89" fillId="33" borderId="10" xfId="0" applyFont="1" applyFill="1" applyBorder="1" applyAlignment="1">
      <alignment vertical="center" wrapText="1"/>
    </xf>
    <xf numFmtId="0" fontId="23" fillId="0" borderId="0" xfId="0" applyFont="1" applyAlignment="1">
      <alignment horizontal="center" vertical="center"/>
    </xf>
    <xf numFmtId="0" fontId="90" fillId="34" borderId="10" xfId="33" applyFont="1" applyFill="1" applyBorder="1" applyAlignment="1">
      <alignment horizontal="center" vertical="center" wrapText="1"/>
      <protection/>
    </xf>
    <xf numFmtId="0" fontId="90" fillId="34" borderId="10" xfId="33" applyFont="1" applyFill="1" applyBorder="1" applyAlignment="1">
      <alignment vertical="center" wrapText="1"/>
      <protection/>
    </xf>
    <xf numFmtId="3" fontId="90" fillId="34" borderId="10" xfId="33" applyNumberFormat="1" applyFont="1" applyFill="1" applyBorder="1" applyAlignment="1">
      <alignment vertical="center" wrapText="1"/>
      <protection/>
    </xf>
    <xf numFmtId="0" fontId="23" fillId="34" borderId="10" xfId="33" applyFont="1" applyFill="1" applyBorder="1" applyAlignment="1">
      <alignment horizontal="center" vertical="center" wrapText="1"/>
      <protection/>
    </xf>
    <xf numFmtId="49" fontId="90" fillId="34" borderId="10" xfId="33" applyNumberFormat="1" applyFont="1" applyFill="1" applyBorder="1" applyAlignment="1">
      <alignment horizontal="left" vertical="center" wrapText="1"/>
      <protection/>
    </xf>
    <xf numFmtId="49" fontId="89" fillId="0" borderId="0" xfId="0" applyNumberFormat="1" applyFont="1" applyAlignment="1">
      <alignment vertical="center"/>
    </xf>
    <xf numFmtId="183" fontId="90" fillId="34" borderId="10" xfId="34" applyNumberFormat="1" applyFont="1" applyFill="1" applyBorder="1" applyAlignment="1">
      <alignment vertical="center" wrapText="1"/>
    </xf>
    <xf numFmtId="183" fontId="89" fillId="0" borderId="0" xfId="34" applyNumberFormat="1" applyFont="1" applyAlignment="1">
      <alignment vertical="center"/>
    </xf>
    <xf numFmtId="0" fontId="89" fillId="35" borderId="0" xfId="0" applyFont="1" applyFill="1" applyAlignment="1">
      <alignment vertical="center"/>
    </xf>
    <xf numFmtId="0" fontId="89" fillId="33" borderId="0" xfId="0" applyFont="1" applyFill="1" applyBorder="1" applyAlignment="1">
      <alignment vertical="center" wrapText="1"/>
    </xf>
    <xf numFmtId="0" fontId="90" fillId="34" borderId="0" xfId="33" applyFont="1" applyFill="1" applyBorder="1" applyAlignment="1">
      <alignment horizontal="center" vertical="center" wrapText="1"/>
      <protection/>
    </xf>
    <xf numFmtId="0" fontId="90" fillId="34" borderId="0" xfId="33" applyFont="1" applyFill="1" applyBorder="1" applyAlignment="1">
      <alignment vertical="center" wrapText="1"/>
      <protection/>
    </xf>
    <xf numFmtId="183" fontId="90" fillId="34" borderId="0" xfId="34" applyNumberFormat="1" applyFont="1" applyFill="1" applyBorder="1" applyAlignment="1">
      <alignment vertical="center" wrapText="1"/>
    </xf>
    <xf numFmtId="3" fontId="90" fillId="34" borderId="0" xfId="33" applyNumberFormat="1" applyFont="1" applyFill="1" applyBorder="1" applyAlignment="1">
      <alignment vertical="center" wrapText="1"/>
      <protection/>
    </xf>
    <xf numFmtId="0" fontId="23" fillId="34" borderId="0" xfId="33" applyFont="1" applyFill="1" applyBorder="1" applyAlignment="1">
      <alignment horizontal="center" vertical="center" wrapText="1"/>
      <protection/>
    </xf>
    <xf numFmtId="49" fontId="90" fillId="34" borderId="0" xfId="33" applyNumberFormat="1" applyFont="1" applyFill="1" applyBorder="1" applyAlignment="1">
      <alignment horizontal="left" vertical="center" wrapText="1"/>
      <protection/>
    </xf>
    <xf numFmtId="0" fontId="89" fillId="33" borderId="0" xfId="0" applyFont="1" applyFill="1" applyBorder="1" applyAlignment="1">
      <alignment vertical="center"/>
    </xf>
    <xf numFmtId="0" fontId="89" fillId="0" borderId="0" xfId="0" applyFont="1" applyFill="1" applyBorder="1" applyAlignment="1">
      <alignment vertical="center"/>
    </xf>
    <xf numFmtId="0" fontId="90" fillId="34" borderId="11" xfId="33" applyFont="1" applyFill="1" applyBorder="1" applyAlignment="1">
      <alignment horizontal="center" vertical="center" wrapText="1"/>
      <protection/>
    </xf>
    <xf numFmtId="0" fontId="89" fillId="0" borderId="0" xfId="0" applyFont="1" applyBorder="1" applyAlignment="1">
      <alignment vertical="center"/>
    </xf>
    <xf numFmtId="0" fontId="89" fillId="35" borderId="0" xfId="0" applyFont="1" applyFill="1" applyBorder="1" applyAlignment="1">
      <alignment vertical="center"/>
    </xf>
    <xf numFmtId="0" fontId="90" fillId="34" borderId="12" xfId="33" applyFont="1" applyFill="1" applyBorder="1" applyAlignment="1">
      <alignment horizontal="center" vertical="center" wrapText="1"/>
      <protection/>
    </xf>
    <xf numFmtId="0" fontId="9" fillId="35" borderId="10" xfId="0" applyFont="1" applyFill="1" applyBorder="1" applyAlignment="1">
      <alignment horizontal="center" vertical="center" wrapText="1"/>
    </xf>
    <xf numFmtId="0" fontId="89" fillId="35" borderId="10" xfId="0" applyFont="1" applyFill="1" applyBorder="1" applyAlignment="1">
      <alignment horizontal="center" vertical="center" wrapText="1"/>
    </xf>
    <xf numFmtId="0" fontId="89" fillId="35" borderId="10" xfId="0" applyFont="1" applyFill="1" applyBorder="1" applyAlignment="1">
      <alignment vertical="center" wrapText="1"/>
    </xf>
    <xf numFmtId="0" fontId="90" fillId="36" borderId="10" xfId="33" applyFont="1" applyFill="1" applyBorder="1" applyAlignment="1">
      <alignment horizontal="center" vertical="center" wrapText="1"/>
      <protection/>
    </xf>
    <xf numFmtId="0" fontId="91" fillId="36" borderId="10" xfId="0" applyFont="1" applyFill="1" applyBorder="1" applyAlignment="1">
      <alignment vertical="center" wrapText="1"/>
    </xf>
    <xf numFmtId="0" fontId="92" fillId="35" borderId="10" xfId="0" applyFont="1" applyFill="1" applyBorder="1" applyAlignment="1">
      <alignment vertical="center" wrapText="1"/>
    </xf>
    <xf numFmtId="0" fontId="89" fillId="35" borderId="10" xfId="0" applyFont="1" applyFill="1" applyBorder="1" applyAlignment="1">
      <alignment vertical="center"/>
    </xf>
    <xf numFmtId="0" fontId="89" fillId="35" borderId="10" xfId="33" applyFont="1" applyFill="1" applyBorder="1" applyAlignment="1">
      <alignment horizontal="center" vertical="center" wrapText="1"/>
      <protection/>
    </xf>
    <xf numFmtId="0" fontId="4" fillId="35" borderId="10" xfId="0" applyFont="1" applyFill="1" applyBorder="1" applyAlignment="1">
      <alignment horizontal="center" vertical="center"/>
    </xf>
    <xf numFmtId="0" fontId="89" fillId="35" borderId="0" xfId="0" applyFont="1" applyFill="1" applyAlignment="1">
      <alignment horizontal="center" vertical="center"/>
    </xf>
    <xf numFmtId="0" fontId="5" fillId="35" borderId="10" xfId="0" applyFont="1" applyFill="1" applyBorder="1" applyAlignment="1">
      <alignment horizontal="center" vertical="center" wrapText="1"/>
    </xf>
    <xf numFmtId="183" fontId="5" fillId="35" borderId="10" xfId="34" applyNumberFormat="1" applyFont="1" applyFill="1" applyBorder="1" applyAlignment="1">
      <alignment horizontal="center" vertical="center" wrapText="1"/>
    </xf>
    <xf numFmtId="0" fontId="7" fillId="35" borderId="10" xfId="0" applyFont="1" applyFill="1" applyBorder="1" applyAlignment="1">
      <alignment horizontal="center" vertical="center" wrapText="1"/>
    </xf>
    <xf numFmtId="0" fontId="9" fillId="35" borderId="10" xfId="0" applyFont="1" applyFill="1" applyBorder="1" applyAlignment="1">
      <alignment vertical="center" wrapText="1"/>
    </xf>
    <xf numFmtId="183" fontId="9" fillId="35" borderId="10" xfId="34" applyNumberFormat="1" applyFont="1" applyFill="1" applyBorder="1" applyAlignment="1">
      <alignment vertical="center" wrapText="1"/>
    </xf>
    <xf numFmtId="49" fontId="9" fillId="35" borderId="10" xfId="0" applyNumberFormat="1" applyFont="1" applyFill="1" applyBorder="1" applyAlignment="1">
      <alignment vertical="center" wrapText="1"/>
    </xf>
    <xf numFmtId="0" fontId="89" fillId="35" borderId="10" xfId="0" applyFont="1" applyFill="1" applyBorder="1" applyAlignment="1">
      <alignment vertical="center" wrapText="1"/>
    </xf>
    <xf numFmtId="183" fontId="89" fillId="35" borderId="10" xfId="34" applyNumberFormat="1" applyFont="1" applyFill="1" applyBorder="1" applyAlignment="1">
      <alignment vertical="center" wrapText="1"/>
    </xf>
    <xf numFmtId="3" fontId="89" fillId="35" borderId="10" xfId="0" applyNumberFormat="1" applyFont="1" applyFill="1" applyBorder="1" applyAlignment="1">
      <alignment vertical="center" wrapText="1"/>
    </xf>
    <xf numFmtId="0" fontId="23" fillId="35" borderId="10" xfId="0" applyFont="1" applyFill="1" applyBorder="1" applyAlignment="1">
      <alignment horizontal="center" vertical="center" wrapText="1"/>
    </xf>
    <xf numFmtId="0" fontId="93" fillId="35" borderId="10" xfId="0" applyFont="1" applyFill="1" applyBorder="1" applyAlignment="1">
      <alignment vertical="center" wrapText="1"/>
    </xf>
    <xf numFmtId="49" fontId="89" fillId="35" borderId="10" xfId="0" applyNumberFormat="1" applyFont="1" applyFill="1" applyBorder="1" applyAlignment="1">
      <alignment vertical="center" wrapText="1"/>
    </xf>
    <xf numFmtId="0" fontId="94" fillId="35" borderId="10" xfId="0" applyFont="1" applyFill="1" applyBorder="1" applyAlignment="1">
      <alignment vertical="center" wrapText="1"/>
    </xf>
    <xf numFmtId="0" fontId="95" fillId="35" borderId="10" xfId="0" applyFont="1" applyFill="1" applyBorder="1" applyAlignment="1">
      <alignment vertical="center" wrapText="1"/>
    </xf>
    <xf numFmtId="0" fontId="96" fillId="35" borderId="10" xfId="0" applyFont="1" applyFill="1" applyBorder="1" applyAlignment="1">
      <alignment vertical="center" wrapText="1"/>
    </xf>
    <xf numFmtId="49" fontId="93" fillId="35" borderId="10" xfId="0" applyNumberFormat="1" applyFont="1" applyFill="1" applyBorder="1" applyAlignment="1">
      <alignment vertical="center" wrapText="1"/>
    </xf>
    <xf numFmtId="0" fontId="97" fillId="35" borderId="10" xfId="0" applyFont="1" applyFill="1" applyBorder="1" applyAlignment="1">
      <alignment vertical="center" wrapText="1"/>
    </xf>
    <xf numFmtId="0" fontId="98" fillId="35" borderId="10" xfId="0" applyFont="1" applyFill="1" applyBorder="1" applyAlignment="1">
      <alignment vertical="center" wrapText="1"/>
    </xf>
    <xf numFmtId="0" fontId="99" fillId="35" borderId="10" xfId="0" applyFont="1" applyFill="1" applyBorder="1" applyAlignment="1">
      <alignment vertical="center" wrapText="1"/>
    </xf>
    <xf numFmtId="0" fontId="98" fillId="35" borderId="10" xfId="0" applyFont="1" applyFill="1" applyBorder="1" applyAlignment="1">
      <alignment horizontal="center" vertical="center" wrapText="1"/>
    </xf>
    <xf numFmtId="3" fontId="90" fillId="36" borderId="10" xfId="33" applyNumberFormat="1" applyFont="1" applyFill="1" applyBorder="1" applyAlignment="1">
      <alignment vertical="center" wrapText="1"/>
      <protection/>
    </xf>
    <xf numFmtId="0" fontId="98" fillId="35" borderId="10" xfId="0" applyFont="1" applyFill="1" applyBorder="1" applyAlignment="1">
      <alignment horizontal="left" vertical="center" wrapText="1"/>
    </xf>
    <xf numFmtId="49" fontId="100" fillId="35" borderId="10" xfId="0" applyNumberFormat="1" applyFont="1" applyFill="1" applyBorder="1" applyAlignment="1">
      <alignment vertical="center" wrapText="1"/>
    </xf>
    <xf numFmtId="49" fontId="96" fillId="35" borderId="10" xfId="0" applyNumberFormat="1" applyFont="1" applyFill="1" applyBorder="1" applyAlignment="1">
      <alignment vertical="center" wrapText="1"/>
    </xf>
    <xf numFmtId="49" fontId="95" fillId="35" borderId="10" xfId="0" applyNumberFormat="1" applyFont="1" applyFill="1" applyBorder="1" applyAlignment="1">
      <alignment vertical="center" wrapText="1"/>
    </xf>
    <xf numFmtId="49" fontId="94" fillId="35" borderId="10" xfId="0" applyNumberFormat="1" applyFont="1" applyFill="1" applyBorder="1" applyAlignment="1">
      <alignment vertical="center" wrapText="1"/>
    </xf>
    <xf numFmtId="0" fontId="90" fillId="36" borderId="10" xfId="33" applyFont="1" applyFill="1" applyBorder="1" applyAlignment="1">
      <alignment vertical="center" wrapText="1"/>
      <protection/>
    </xf>
    <xf numFmtId="183" fontId="90" fillId="36" borderId="10" xfId="34" applyNumberFormat="1" applyFont="1" applyFill="1" applyBorder="1" applyAlignment="1">
      <alignment vertical="center" wrapText="1"/>
    </xf>
    <xf numFmtId="0" fontId="23" fillId="36" borderId="10" xfId="33" applyFont="1" applyFill="1" applyBorder="1" applyAlignment="1">
      <alignment horizontal="center" vertical="center" wrapText="1"/>
      <protection/>
    </xf>
    <xf numFmtId="49" fontId="90" fillId="36" borderId="10" xfId="33" applyNumberFormat="1" applyFont="1" applyFill="1" applyBorder="1" applyAlignment="1">
      <alignment horizontal="left" vertical="center" wrapText="1"/>
      <protection/>
    </xf>
    <xf numFmtId="0" fontId="101" fillId="36" borderId="10" xfId="33" applyFont="1" applyFill="1" applyBorder="1" applyAlignment="1">
      <alignment vertical="center" wrapText="1"/>
      <protection/>
    </xf>
    <xf numFmtId="0" fontId="102" fillId="36" borderId="10" xfId="33" applyFont="1" applyFill="1" applyBorder="1" applyAlignment="1">
      <alignment vertical="center" wrapText="1"/>
      <protection/>
    </xf>
    <xf numFmtId="0" fontId="103" fillId="36" borderId="10" xfId="33" applyFont="1" applyFill="1" applyBorder="1" applyAlignment="1">
      <alignment vertical="center" wrapText="1"/>
      <protection/>
    </xf>
    <xf numFmtId="0" fontId="104" fillId="36" borderId="10" xfId="33" applyFont="1" applyFill="1" applyBorder="1" applyAlignment="1">
      <alignment vertical="center" wrapText="1"/>
      <protection/>
    </xf>
    <xf numFmtId="49" fontId="101" fillId="36" borderId="10" xfId="33" applyNumberFormat="1" applyFont="1" applyFill="1" applyBorder="1" applyAlignment="1">
      <alignment horizontal="left" vertical="center" wrapText="1"/>
      <protection/>
    </xf>
    <xf numFmtId="0" fontId="105" fillId="36" borderId="10" xfId="33" applyFont="1" applyFill="1" applyBorder="1" applyAlignment="1">
      <alignment vertical="center" wrapText="1"/>
      <protection/>
    </xf>
    <xf numFmtId="49" fontId="103" fillId="36" borderId="10" xfId="33" applyNumberFormat="1" applyFont="1" applyFill="1" applyBorder="1" applyAlignment="1">
      <alignment horizontal="left" vertical="center" wrapText="1"/>
      <protection/>
    </xf>
    <xf numFmtId="0" fontId="100" fillId="35" borderId="10" xfId="0" applyFont="1" applyFill="1" applyBorder="1" applyAlignment="1">
      <alignment vertical="center" wrapText="1"/>
    </xf>
    <xf numFmtId="49" fontId="104" fillId="36" borderId="10" xfId="33" applyNumberFormat="1" applyFont="1" applyFill="1" applyBorder="1" applyAlignment="1">
      <alignment horizontal="left" vertical="center" wrapText="1"/>
      <protection/>
    </xf>
    <xf numFmtId="49" fontId="91" fillId="36" borderId="10" xfId="33" applyNumberFormat="1" applyFont="1" applyFill="1" applyBorder="1" applyAlignment="1">
      <alignment horizontal="left" vertical="center" wrapText="1"/>
      <protection/>
    </xf>
    <xf numFmtId="0" fontId="91" fillId="36" borderId="10" xfId="33" applyFont="1" applyFill="1" applyBorder="1" applyAlignment="1">
      <alignment vertical="center" wrapText="1"/>
      <protection/>
    </xf>
    <xf numFmtId="0" fontId="106" fillId="35" borderId="10" xfId="0" applyFont="1" applyFill="1" applyBorder="1" applyAlignment="1">
      <alignment vertical="center" wrapText="1"/>
    </xf>
    <xf numFmtId="49" fontId="90" fillId="36" borderId="10" xfId="33" applyNumberFormat="1" applyFont="1" applyFill="1" applyBorder="1" applyAlignment="1" quotePrefix="1">
      <alignment horizontal="left" vertical="center" wrapText="1"/>
      <protection/>
    </xf>
    <xf numFmtId="49" fontId="101" fillId="36" borderId="10" xfId="33" applyNumberFormat="1" applyFont="1" applyFill="1" applyBorder="1" applyAlignment="1" quotePrefix="1">
      <alignment horizontal="left" vertical="center" wrapText="1"/>
      <protection/>
    </xf>
    <xf numFmtId="49" fontId="103" fillId="36" borderId="10" xfId="33" applyNumberFormat="1" applyFont="1" applyFill="1" applyBorder="1" applyAlignment="1" quotePrefix="1">
      <alignment horizontal="left" vertical="center" wrapText="1"/>
      <protection/>
    </xf>
    <xf numFmtId="0" fontId="90" fillId="36" borderId="10" xfId="33" applyFont="1" applyFill="1" applyBorder="1" applyAlignment="1">
      <alignment horizontal="left" vertical="center" wrapText="1"/>
      <protection/>
    </xf>
    <xf numFmtId="0" fontId="103" fillId="36" borderId="10" xfId="33" applyFont="1" applyFill="1" applyBorder="1" applyAlignment="1">
      <alignment horizontal="left" vertical="center" wrapText="1"/>
      <protection/>
    </xf>
    <xf numFmtId="0" fontId="89" fillId="35" borderId="10" xfId="0" applyFont="1" applyFill="1" applyBorder="1" applyAlignment="1" quotePrefix="1">
      <alignment vertical="center" wrapText="1"/>
    </xf>
    <xf numFmtId="184" fontId="91" fillId="36" borderId="10" xfId="0" applyNumberFormat="1" applyFont="1" applyFill="1" applyBorder="1" applyAlignment="1">
      <alignment horizontal="left" vertical="center" wrapText="1"/>
    </xf>
    <xf numFmtId="49" fontId="23" fillId="36" borderId="10" xfId="33" applyNumberFormat="1" applyFont="1" applyFill="1" applyBorder="1" applyAlignment="1">
      <alignment horizontal="left" vertical="center" wrapText="1"/>
      <protection/>
    </xf>
    <xf numFmtId="49" fontId="39" fillId="36" borderId="10" xfId="33" applyNumberFormat="1" applyFont="1" applyFill="1" applyBorder="1" applyAlignment="1">
      <alignment horizontal="left" vertical="center" wrapText="1"/>
      <protection/>
    </xf>
    <xf numFmtId="0" fontId="93" fillId="35" borderId="10" xfId="0" applyFont="1" applyFill="1" applyBorder="1" applyAlignment="1">
      <alignment vertical="center" wrapText="1"/>
    </xf>
    <xf numFmtId="49" fontId="102" fillId="36" borderId="10" xfId="33" applyNumberFormat="1" applyFont="1" applyFill="1" applyBorder="1" applyAlignment="1">
      <alignment horizontal="left" vertical="center" wrapText="1"/>
      <protection/>
    </xf>
    <xf numFmtId="0" fontId="89" fillId="35" borderId="13" xfId="0" applyFont="1" applyFill="1" applyBorder="1" applyAlignment="1">
      <alignment vertical="center" wrapText="1"/>
    </xf>
    <xf numFmtId="49" fontId="89" fillId="35" borderId="10" xfId="0" applyNumberFormat="1" applyFont="1" applyFill="1" applyBorder="1" applyAlignment="1">
      <alignment vertical="center"/>
    </xf>
    <xf numFmtId="0" fontId="89" fillId="35" borderId="13" xfId="0" applyFont="1" applyFill="1" applyBorder="1" applyAlignment="1">
      <alignment vertical="center" wrapText="1"/>
    </xf>
    <xf numFmtId="0" fontId="107" fillId="35" borderId="10" xfId="0" applyFont="1" applyFill="1" applyBorder="1" applyAlignment="1">
      <alignment vertical="center" wrapText="1"/>
    </xf>
    <xf numFmtId="49" fontId="100" fillId="35" borderId="10" xfId="0" applyNumberFormat="1" applyFont="1" applyFill="1" applyBorder="1" applyAlignment="1" quotePrefix="1">
      <alignment vertical="center" wrapText="1"/>
    </xf>
    <xf numFmtId="49" fontId="89" fillId="35" borderId="10" xfId="0" applyNumberFormat="1" applyFont="1" applyFill="1" applyBorder="1" applyAlignment="1" quotePrefix="1">
      <alignment vertical="center" wrapText="1"/>
    </xf>
    <xf numFmtId="0" fontId="89" fillId="35" borderId="10" xfId="0" applyFont="1" applyFill="1" applyBorder="1" applyAlignment="1">
      <alignment vertical="center"/>
    </xf>
    <xf numFmtId="49" fontId="93" fillId="35" borderId="10" xfId="0" applyNumberFormat="1" applyFont="1" applyFill="1" applyBorder="1" applyAlignment="1" quotePrefix="1">
      <alignment vertical="center" wrapText="1"/>
    </xf>
    <xf numFmtId="49" fontId="90" fillId="36" borderId="10" xfId="33" applyNumberFormat="1" applyFont="1" applyFill="1" applyBorder="1" applyAlignment="1">
      <alignment vertical="center" wrapText="1"/>
      <protection/>
    </xf>
    <xf numFmtId="49" fontId="96" fillId="35" borderId="10" xfId="0" applyNumberFormat="1" applyFont="1" applyFill="1" applyBorder="1" applyAlignment="1">
      <alignment horizontal="left" vertical="center" wrapText="1"/>
    </xf>
    <xf numFmtId="0" fontId="89" fillId="35" borderId="10" xfId="33" applyFont="1" applyFill="1" applyBorder="1" applyAlignment="1">
      <alignment vertical="center" wrapText="1"/>
      <protection/>
    </xf>
    <xf numFmtId="3" fontId="89" fillId="35" borderId="10" xfId="33" applyNumberFormat="1" applyFont="1" applyFill="1" applyBorder="1" applyAlignment="1">
      <alignment vertical="center" wrapText="1"/>
      <protection/>
    </xf>
    <xf numFmtId="0" fontId="23" fillId="35" borderId="10" xfId="33" applyFont="1" applyFill="1" applyBorder="1" applyAlignment="1">
      <alignment horizontal="center" vertical="center" wrapText="1"/>
      <protection/>
    </xf>
    <xf numFmtId="49" fontId="89" fillId="35" borderId="10" xfId="33" applyNumberFormat="1" applyFont="1" applyFill="1" applyBorder="1" applyAlignment="1">
      <alignment vertical="center" wrapText="1"/>
      <protection/>
    </xf>
    <xf numFmtId="0" fontId="98" fillId="35" borderId="10" xfId="33" applyFont="1" applyFill="1" applyBorder="1" applyAlignment="1">
      <alignment vertical="center" wrapText="1"/>
      <protection/>
    </xf>
    <xf numFmtId="0" fontId="93" fillId="35" borderId="10" xfId="33" applyFont="1" applyFill="1" applyBorder="1" applyAlignment="1">
      <alignment vertical="center" wrapText="1"/>
      <protection/>
    </xf>
    <xf numFmtId="0" fontId="98" fillId="35" borderId="10" xfId="33" applyFont="1" applyFill="1" applyBorder="1" applyAlignment="1">
      <alignment horizontal="center" vertical="center" wrapText="1"/>
      <protection/>
    </xf>
    <xf numFmtId="0" fontId="98" fillId="35" borderId="10" xfId="33" applyFont="1" applyFill="1" applyBorder="1" applyAlignment="1">
      <alignment horizontal="left" vertical="center" wrapText="1"/>
      <protection/>
    </xf>
    <xf numFmtId="3" fontId="89" fillId="35" borderId="10" xfId="0" applyNumberFormat="1" applyFont="1" applyFill="1" applyBorder="1" applyAlignment="1">
      <alignment vertical="center" wrapText="1"/>
    </xf>
    <xf numFmtId="0" fontId="23" fillId="35" borderId="10" xfId="0" applyFont="1" applyFill="1" applyBorder="1" applyAlignment="1" quotePrefix="1">
      <alignment vertical="center" wrapText="1"/>
    </xf>
    <xf numFmtId="183" fontId="4" fillId="35" borderId="10" xfId="34" applyNumberFormat="1" applyFont="1" applyFill="1" applyBorder="1" applyAlignment="1">
      <alignment vertical="center" wrapText="1"/>
    </xf>
    <xf numFmtId="3" fontId="4" fillId="35" borderId="10" xfId="0" applyNumberFormat="1" applyFont="1" applyFill="1" applyBorder="1" applyAlignment="1">
      <alignment vertical="center" wrapText="1"/>
    </xf>
    <xf numFmtId="0" fontId="4" fillId="35" borderId="10" xfId="0" applyFont="1" applyFill="1" applyBorder="1" applyAlignment="1">
      <alignment vertical="center"/>
    </xf>
    <xf numFmtId="183" fontId="89" fillId="35" borderId="0" xfId="34" applyNumberFormat="1" applyFont="1" applyFill="1" applyAlignment="1">
      <alignment vertical="center"/>
    </xf>
    <xf numFmtId="0" fontId="23" fillId="35" borderId="0" xfId="0" applyFont="1" applyFill="1" applyAlignment="1">
      <alignment horizontal="center" vertical="center"/>
    </xf>
    <xf numFmtId="49" fontId="89" fillId="35" borderId="0" xfId="0" applyNumberFormat="1" applyFont="1" applyFill="1" applyAlignment="1">
      <alignment vertical="center"/>
    </xf>
    <xf numFmtId="3" fontId="89" fillId="35" borderId="0" xfId="0" applyNumberFormat="1" applyFont="1" applyFill="1" applyAlignment="1">
      <alignment vertical="center"/>
    </xf>
    <xf numFmtId="0" fontId="0" fillId="35" borderId="0" xfId="0" applyFont="1" applyFill="1" applyBorder="1" applyAlignment="1">
      <alignment horizontal="center" vertical="center"/>
    </xf>
    <xf numFmtId="3" fontId="0" fillId="35" borderId="0" xfId="0" applyNumberFormat="1" applyFont="1" applyFill="1" applyBorder="1" applyAlignment="1">
      <alignment horizontal="right" vertical="center" indent="5"/>
    </xf>
    <xf numFmtId="3" fontId="0" fillId="35" borderId="0" xfId="0" applyNumberFormat="1" applyFont="1" applyFill="1" applyBorder="1" applyAlignment="1">
      <alignment horizontal="right" vertical="center" indent="6"/>
    </xf>
    <xf numFmtId="0" fontId="0" fillId="35" borderId="0" xfId="0" applyFill="1" applyAlignment="1">
      <alignment vertical="center"/>
    </xf>
    <xf numFmtId="0" fontId="8" fillId="35" borderId="10" xfId="0" applyFont="1" applyFill="1" applyBorder="1" applyAlignment="1">
      <alignment horizontal="center" vertical="center" wrapText="1"/>
    </xf>
    <xf numFmtId="0" fontId="98" fillId="35" borderId="10" xfId="0" applyFont="1" applyFill="1" applyBorder="1" applyAlignment="1">
      <alignment vertical="center"/>
    </xf>
    <xf numFmtId="0" fontId="93" fillId="35" borderId="10" xfId="0" applyFont="1" applyFill="1" applyBorder="1" applyAlignment="1" quotePrefix="1">
      <alignment vertical="center" wrapText="1"/>
    </xf>
    <xf numFmtId="0" fontId="23" fillId="35" borderId="10" xfId="0" applyFont="1" applyFill="1" applyBorder="1" applyAlignment="1">
      <alignment vertical="center" wrapText="1"/>
    </xf>
    <xf numFmtId="184" fontId="89" fillId="35" borderId="10" xfId="0" applyNumberFormat="1" applyFont="1" applyFill="1" applyBorder="1" applyAlignment="1">
      <alignment horizontal="left" vertical="center" wrapText="1"/>
    </xf>
    <xf numFmtId="184" fontId="100" fillId="35" borderId="10" xfId="0" applyNumberFormat="1" applyFont="1" applyFill="1" applyBorder="1" applyAlignment="1">
      <alignment horizontal="left" vertical="center" wrapText="1"/>
    </xf>
    <xf numFmtId="184" fontId="93" fillId="35" borderId="10" xfId="0" applyNumberFormat="1" applyFont="1" applyFill="1" applyBorder="1" applyAlignment="1">
      <alignment horizontal="left" vertical="center" wrapText="1"/>
    </xf>
    <xf numFmtId="184" fontId="96" fillId="35" borderId="10" xfId="0" applyNumberFormat="1" applyFont="1" applyFill="1" applyBorder="1" applyAlignment="1">
      <alignment horizontal="left" vertical="center" wrapText="1"/>
    </xf>
    <xf numFmtId="0" fontId="89" fillId="35" borderId="10" xfId="0" applyFont="1" applyFill="1" applyBorder="1" applyAlignment="1">
      <alignment horizontal="left" vertical="center" wrapText="1"/>
    </xf>
    <xf numFmtId="0" fontId="96" fillId="35" borderId="10" xfId="0" applyFont="1" applyFill="1" applyBorder="1" applyAlignment="1">
      <alignment horizontal="left" vertical="center" wrapText="1"/>
    </xf>
    <xf numFmtId="0" fontId="93" fillId="35" borderId="10" xfId="0" applyFont="1" applyFill="1" applyBorder="1" applyAlignment="1">
      <alignment horizontal="left" vertical="center" wrapText="1"/>
    </xf>
    <xf numFmtId="0" fontId="95" fillId="35" borderId="10" xfId="0" applyFont="1" applyFill="1" applyBorder="1" applyAlignment="1">
      <alignment horizontal="left" vertical="center" wrapText="1"/>
    </xf>
    <xf numFmtId="184" fontId="95" fillId="35" borderId="10" xfId="0" applyNumberFormat="1" applyFont="1" applyFill="1" applyBorder="1" applyAlignment="1">
      <alignment horizontal="left" vertical="center" wrapText="1"/>
    </xf>
    <xf numFmtId="0" fontId="99" fillId="35" borderId="13" xfId="0" applyFont="1" applyFill="1" applyBorder="1" applyAlignment="1">
      <alignment vertical="center" wrapText="1"/>
    </xf>
    <xf numFmtId="0" fontId="89" fillId="35" borderId="10" xfId="0" applyFont="1" applyFill="1" applyBorder="1" applyAlignment="1" quotePrefix="1">
      <alignment vertical="center" wrapText="1"/>
    </xf>
    <xf numFmtId="0" fontId="100" fillId="35" borderId="10" xfId="0" applyFont="1" applyFill="1" applyBorder="1" applyAlignment="1" quotePrefix="1">
      <alignment vertical="center" wrapText="1"/>
    </xf>
    <xf numFmtId="0" fontId="108" fillId="35" borderId="10" xfId="0" applyFont="1" applyFill="1" applyBorder="1" applyAlignment="1">
      <alignment vertical="center" wrapText="1"/>
    </xf>
    <xf numFmtId="0" fontId="108" fillId="35" borderId="10" xfId="0" applyFont="1" applyFill="1" applyBorder="1" applyAlignment="1" quotePrefix="1">
      <alignment vertical="center" wrapText="1"/>
    </xf>
    <xf numFmtId="0" fontId="109" fillId="35" borderId="10" xfId="0" applyFont="1" applyFill="1" applyBorder="1" applyAlignment="1">
      <alignment vertical="center" wrapText="1"/>
    </xf>
    <xf numFmtId="0" fontId="90" fillId="36" borderId="10" xfId="0" applyFont="1" applyFill="1" applyBorder="1" applyAlignment="1">
      <alignment vertical="center" wrapText="1"/>
    </xf>
    <xf numFmtId="0" fontId="2" fillId="35" borderId="10" xfId="0" applyFont="1" applyFill="1" applyBorder="1" applyAlignment="1">
      <alignment vertical="center"/>
    </xf>
    <xf numFmtId="0" fontId="9" fillId="35" borderId="10" xfId="0" applyFont="1" applyFill="1" applyBorder="1" applyAlignment="1">
      <alignment horizontal="left" vertical="center" wrapText="1"/>
    </xf>
    <xf numFmtId="0" fontId="5" fillId="35" borderId="10" xfId="0" applyFont="1" applyFill="1" applyBorder="1" applyAlignment="1">
      <alignment horizontal="center" vertical="center"/>
    </xf>
    <xf numFmtId="0" fontId="5" fillId="35" borderId="0" xfId="0" applyFont="1" applyFill="1" applyBorder="1" applyAlignment="1">
      <alignment horizontal="center" vertical="center" wrapText="1"/>
    </xf>
    <xf numFmtId="0" fontId="93" fillId="35" borderId="10" xfId="0" applyFont="1" applyFill="1" applyBorder="1" applyAlignment="1">
      <alignment vertical="center"/>
    </xf>
    <xf numFmtId="49" fontId="105" fillId="36" borderId="10" xfId="33" applyNumberFormat="1" applyFont="1" applyFill="1" applyBorder="1" applyAlignment="1">
      <alignment horizontal="left" vertical="center" wrapText="1"/>
      <protection/>
    </xf>
    <xf numFmtId="49" fontId="97" fillId="35" borderId="10" xfId="0" applyNumberFormat="1" applyFont="1" applyFill="1" applyBorder="1" applyAlignment="1">
      <alignment vertical="center" wrapText="1"/>
    </xf>
    <xf numFmtId="0" fontId="110" fillId="36" borderId="10" xfId="33" applyFont="1" applyFill="1" applyBorder="1" applyAlignment="1">
      <alignment vertical="center" wrapText="1"/>
      <protection/>
    </xf>
    <xf numFmtId="49" fontId="110" fillId="36" borderId="10" xfId="33" applyNumberFormat="1" applyFont="1" applyFill="1" applyBorder="1" applyAlignment="1">
      <alignment horizontal="left" vertical="center" wrapText="1"/>
      <protection/>
    </xf>
    <xf numFmtId="0" fontId="5" fillId="35" borderId="0" xfId="0" applyFont="1" applyFill="1" applyAlignment="1">
      <alignment horizontal="center" vertical="center" wrapText="1"/>
    </xf>
    <xf numFmtId="0" fontId="5" fillId="35" borderId="0"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5" fillId="35" borderId="10" xfId="0" applyFont="1" applyFill="1" applyBorder="1" applyAlignment="1">
      <alignment horizontal="center" vertical="center"/>
    </xf>
    <xf numFmtId="0" fontId="5" fillId="35" borderId="10" xfId="0"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0" fontId="9" fillId="35" borderId="10" xfId="0" applyFont="1" applyFill="1" applyBorder="1" applyAlignment="1">
      <alignment horizontal="left" vertical="center" wrapText="1"/>
    </xf>
    <xf numFmtId="0" fontId="9" fillId="35" borderId="10"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89" fillId="0" borderId="0" xfId="0" applyFont="1" applyAlignment="1">
      <alignment horizontal="right"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IM1883"/>
  <sheetViews>
    <sheetView tabSelected="1" view="pageLayout" workbookViewId="0" topLeftCell="A1">
      <selection activeCell="A1" sqref="A1:K1881"/>
    </sheetView>
  </sheetViews>
  <sheetFormatPr defaultColWidth="9.00390625" defaultRowHeight="45" customHeight="1"/>
  <cols>
    <col min="1" max="1" width="4.75390625" style="4" customWidth="1"/>
    <col min="2" max="2" width="29.75390625" style="3" customWidth="1"/>
    <col min="3" max="3" width="8.75390625" style="3" customWidth="1"/>
    <col min="4" max="4" width="10.75390625" style="14" customWidth="1"/>
    <col min="5" max="5" width="10.75390625" style="3" customWidth="1"/>
    <col min="6" max="6" width="4.75390625" style="6" customWidth="1"/>
    <col min="7" max="7" width="33.75390625" style="3" customWidth="1"/>
    <col min="8" max="8" width="8.75390625" style="4" customWidth="1"/>
    <col min="9" max="10" width="10.75390625" style="3" customWidth="1"/>
    <col min="11" max="11" width="12.75390625" style="12" customWidth="1"/>
    <col min="12" max="16384" width="8.875" style="3" customWidth="1"/>
  </cols>
  <sheetData>
    <row r="1" spans="1:11" ht="19.5" customHeight="1">
      <c r="A1" s="152" t="s">
        <v>85</v>
      </c>
      <c r="B1" s="152"/>
      <c r="C1" s="152"/>
      <c r="D1" s="152"/>
      <c r="E1" s="152"/>
      <c r="F1" s="152"/>
      <c r="G1" s="152"/>
      <c r="H1" s="152"/>
      <c r="I1" s="152"/>
      <c r="J1" s="152"/>
      <c r="K1" s="152"/>
    </row>
    <row r="2" spans="1:11" ht="19.5" customHeight="1">
      <c r="A2" s="152" t="s">
        <v>69</v>
      </c>
      <c r="B2" s="152"/>
      <c r="C2" s="152"/>
      <c r="D2" s="152"/>
      <c r="E2" s="152"/>
      <c r="F2" s="152"/>
      <c r="G2" s="152"/>
      <c r="H2" s="152"/>
      <c r="I2" s="152"/>
      <c r="J2" s="152"/>
      <c r="K2" s="152"/>
    </row>
    <row r="3" spans="1:11" ht="19.5" customHeight="1">
      <c r="A3" s="153" t="s">
        <v>782</v>
      </c>
      <c r="B3" s="154"/>
      <c r="C3" s="154"/>
      <c r="D3" s="154"/>
      <c r="E3" s="154"/>
      <c r="F3" s="154"/>
      <c r="G3" s="154"/>
      <c r="H3" s="154"/>
      <c r="I3" s="154"/>
      <c r="J3" s="154"/>
      <c r="K3" s="146"/>
    </row>
    <row r="4" spans="1:11" ht="45" customHeight="1">
      <c r="A4" s="155" t="s">
        <v>70</v>
      </c>
      <c r="B4" s="155"/>
      <c r="C4" s="155"/>
      <c r="D4" s="155"/>
      <c r="E4" s="155"/>
      <c r="F4" s="156" t="s">
        <v>71</v>
      </c>
      <c r="G4" s="156" t="s">
        <v>72</v>
      </c>
      <c r="H4" s="156" t="s">
        <v>73</v>
      </c>
      <c r="I4" s="155" t="s">
        <v>74</v>
      </c>
      <c r="J4" s="155"/>
      <c r="K4" s="157" t="s">
        <v>75</v>
      </c>
    </row>
    <row r="5" spans="1:11" ht="45" customHeight="1">
      <c r="A5" s="39" t="s">
        <v>76</v>
      </c>
      <c r="B5" s="39" t="s">
        <v>77</v>
      </c>
      <c r="C5" s="39" t="s">
        <v>78</v>
      </c>
      <c r="D5" s="40" t="s">
        <v>79</v>
      </c>
      <c r="E5" s="39" t="s">
        <v>80</v>
      </c>
      <c r="F5" s="156"/>
      <c r="G5" s="156"/>
      <c r="H5" s="156"/>
      <c r="I5" s="39" t="s">
        <v>81</v>
      </c>
      <c r="J5" s="39" t="s">
        <v>82</v>
      </c>
      <c r="K5" s="157"/>
    </row>
    <row r="6" spans="1:11" ht="45" customHeight="1">
      <c r="A6" s="158" t="s">
        <v>65</v>
      </c>
      <c r="B6" s="158"/>
      <c r="C6" s="42"/>
      <c r="D6" s="43"/>
      <c r="E6" s="42"/>
      <c r="F6" s="29"/>
      <c r="G6" s="42"/>
      <c r="H6" s="29"/>
      <c r="I6" s="42"/>
      <c r="J6" s="42"/>
      <c r="K6" s="44"/>
    </row>
    <row r="7" spans="1:11" s="15" customFormat="1" ht="45" customHeight="1">
      <c r="A7" s="30">
        <v>105</v>
      </c>
      <c r="B7" s="45" t="s">
        <v>0</v>
      </c>
      <c r="C7" s="45" t="s">
        <v>38</v>
      </c>
      <c r="D7" s="46">
        <v>900000</v>
      </c>
      <c r="E7" s="47"/>
      <c r="F7" s="48">
        <v>4</v>
      </c>
      <c r="G7" s="45" t="s">
        <v>566</v>
      </c>
      <c r="H7" s="30"/>
      <c r="I7" s="45" t="s">
        <v>45</v>
      </c>
      <c r="J7" s="49"/>
      <c r="K7" s="50" t="str">
        <f>"　"</f>
        <v>　</v>
      </c>
    </row>
    <row r="8" spans="1:11" s="15" customFormat="1" ht="45" customHeight="1">
      <c r="A8" s="30">
        <v>105</v>
      </c>
      <c r="B8" s="45" t="s">
        <v>186</v>
      </c>
      <c r="C8" s="45" t="s">
        <v>38</v>
      </c>
      <c r="D8" s="46">
        <v>535000</v>
      </c>
      <c r="E8" s="47"/>
      <c r="F8" s="48">
        <v>4</v>
      </c>
      <c r="G8" s="45" t="s">
        <v>568</v>
      </c>
      <c r="H8" s="30"/>
      <c r="I8" s="45" t="s">
        <v>45</v>
      </c>
      <c r="J8" s="49"/>
      <c r="K8" s="50" t="str">
        <f>"　"</f>
        <v>　</v>
      </c>
    </row>
    <row r="9" spans="1:11" s="15" customFormat="1" ht="45" customHeight="1">
      <c r="A9" s="30">
        <v>105</v>
      </c>
      <c r="B9" s="45" t="s">
        <v>186</v>
      </c>
      <c r="C9" s="45" t="s">
        <v>38</v>
      </c>
      <c r="D9" s="46">
        <v>1021000</v>
      </c>
      <c r="E9" s="47"/>
      <c r="F9" s="48">
        <v>4</v>
      </c>
      <c r="G9" s="45" t="s">
        <v>783</v>
      </c>
      <c r="H9" s="30"/>
      <c r="I9" s="45" t="s">
        <v>45</v>
      </c>
      <c r="J9" s="49"/>
      <c r="K9" s="50" t="str">
        <f>"　"</f>
        <v>　</v>
      </c>
    </row>
    <row r="10" spans="1:11" ht="45" customHeight="1">
      <c r="A10" s="30">
        <v>105</v>
      </c>
      <c r="B10" s="45" t="s">
        <v>784</v>
      </c>
      <c r="C10" s="45" t="s">
        <v>38</v>
      </c>
      <c r="D10" s="46"/>
      <c r="E10" s="47">
        <v>109290</v>
      </c>
      <c r="F10" s="48">
        <v>4</v>
      </c>
      <c r="G10" s="45" t="s">
        <v>785</v>
      </c>
      <c r="H10" s="30" t="s">
        <v>786</v>
      </c>
      <c r="I10" s="45" t="s">
        <v>107</v>
      </c>
      <c r="J10" s="45" t="s">
        <v>277</v>
      </c>
      <c r="K10" s="50" t="str">
        <f>"00029496"</f>
        <v>00029496</v>
      </c>
    </row>
    <row r="11" spans="1:11" ht="45" customHeight="1">
      <c r="A11" s="30">
        <v>105</v>
      </c>
      <c r="B11" s="45" t="s">
        <v>784</v>
      </c>
      <c r="C11" s="45" t="s">
        <v>38</v>
      </c>
      <c r="D11" s="46"/>
      <c r="E11" s="47">
        <v>91333</v>
      </c>
      <c r="F11" s="48">
        <v>4</v>
      </c>
      <c r="G11" s="51" t="s">
        <v>787</v>
      </c>
      <c r="H11" s="30" t="s">
        <v>788</v>
      </c>
      <c r="I11" s="45" t="s">
        <v>107</v>
      </c>
      <c r="J11" s="45" t="s">
        <v>277</v>
      </c>
      <c r="K11" s="50" t="str">
        <f>"00031856"</f>
        <v>00031856</v>
      </c>
    </row>
    <row r="12" spans="1:11" ht="45" customHeight="1">
      <c r="A12" s="30">
        <v>105</v>
      </c>
      <c r="B12" s="45" t="s">
        <v>784</v>
      </c>
      <c r="C12" s="45" t="s">
        <v>38</v>
      </c>
      <c r="D12" s="46"/>
      <c r="E12" s="47">
        <v>8351</v>
      </c>
      <c r="F12" s="48">
        <v>4</v>
      </c>
      <c r="G12" s="45" t="s">
        <v>790</v>
      </c>
      <c r="H12" s="30" t="s">
        <v>791</v>
      </c>
      <c r="I12" s="45" t="s">
        <v>392</v>
      </c>
      <c r="J12" s="45" t="s">
        <v>792</v>
      </c>
      <c r="K12" s="50" t="str">
        <f>"00029491"</f>
        <v>00029491</v>
      </c>
    </row>
    <row r="13" spans="1:11" ht="45" customHeight="1">
      <c r="A13" s="30">
        <v>105</v>
      </c>
      <c r="B13" s="45" t="s">
        <v>784</v>
      </c>
      <c r="C13" s="45" t="s">
        <v>38</v>
      </c>
      <c r="D13" s="46"/>
      <c r="E13" s="47">
        <v>91383</v>
      </c>
      <c r="F13" s="48">
        <v>4</v>
      </c>
      <c r="G13" s="49" t="s">
        <v>789</v>
      </c>
      <c r="H13" s="30" t="s">
        <v>788</v>
      </c>
      <c r="I13" s="45" t="s">
        <v>107</v>
      </c>
      <c r="J13" s="45" t="s">
        <v>277</v>
      </c>
      <c r="K13" s="50" t="str">
        <f>"00031864"</f>
        <v>00031864</v>
      </c>
    </row>
    <row r="14" spans="1:11" ht="45" customHeight="1">
      <c r="A14" s="30">
        <v>105</v>
      </c>
      <c r="B14" s="45" t="s">
        <v>784</v>
      </c>
      <c r="C14" s="45" t="s">
        <v>38</v>
      </c>
      <c r="D14" s="46"/>
      <c r="E14" s="47">
        <v>70000</v>
      </c>
      <c r="F14" s="48">
        <v>4</v>
      </c>
      <c r="G14" s="45" t="s">
        <v>795</v>
      </c>
      <c r="H14" s="30" t="s">
        <v>796</v>
      </c>
      <c r="I14" s="45" t="s">
        <v>107</v>
      </c>
      <c r="J14" s="45" t="s">
        <v>149</v>
      </c>
      <c r="K14" s="50" t="str">
        <f>"00029131"</f>
        <v>00029131</v>
      </c>
    </row>
    <row r="15" spans="1:11" ht="45" customHeight="1">
      <c r="A15" s="30">
        <v>105</v>
      </c>
      <c r="B15" s="45" t="s">
        <v>784</v>
      </c>
      <c r="C15" s="45" t="s">
        <v>38</v>
      </c>
      <c r="D15" s="46"/>
      <c r="E15" s="47">
        <v>7788</v>
      </c>
      <c r="F15" s="48">
        <v>4</v>
      </c>
      <c r="G15" s="45" t="s">
        <v>793</v>
      </c>
      <c r="H15" s="30" t="s">
        <v>794</v>
      </c>
      <c r="I15" s="45" t="s">
        <v>92</v>
      </c>
      <c r="J15" s="45" t="s">
        <v>110</v>
      </c>
      <c r="K15" s="50" t="str">
        <f>"00030257"</f>
        <v>00030257</v>
      </c>
    </row>
    <row r="16" spans="1:11" ht="45" customHeight="1">
      <c r="A16" s="30">
        <v>105</v>
      </c>
      <c r="B16" s="45" t="s">
        <v>797</v>
      </c>
      <c r="C16" s="45" t="s">
        <v>38</v>
      </c>
      <c r="D16" s="46"/>
      <c r="E16" s="47">
        <v>78594</v>
      </c>
      <c r="F16" s="48">
        <v>4</v>
      </c>
      <c r="G16" s="52" t="s">
        <v>803</v>
      </c>
      <c r="H16" s="30" t="s">
        <v>804</v>
      </c>
      <c r="I16" s="45" t="s">
        <v>107</v>
      </c>
      <c r="J16" s="51" t="s">
        <v>149</v>
      </c>
      <c r="K16" s="50" t="str">
        <f>"00029076"</f>
        <v>00029076</v>
      </c>
    </row>
    <row r="17" spans="1:11" s="2" customFormat="1" ht="45" customHeight="1">
      <c r="A17" s="30">
        <v>105</v>
      </c>
      <c r="B17" s="45" t="s">
        <v>797</v>
      </c>
      <c r="C17" s="45" t="s">
        <v>38</v>
      </c>
      <c r="D17" s="46"/>
      <c r="E17" s="47">
        <v>144793</v>
      </c>
      <c r="F17" s="48">
        <v>4</v>
      </c>
      <c r="G17" s="51" t="s">
        <v>815</v>
      </c>
      <c r="H17" s="30" t="s">
        <v>816</v>
      </c>
      <c r="I17" s="45" t="s">
        <v>107</v>
      </c>
      <c r="J17" s="45" t="s">
        <v>817</v>
      </c>
      <c r="K17" s="50" t="str">
        <f>"00029771"</f>
        <v>00029771</v>
      </c>
    </row>
    <row r="18" spans="1:11" ht="45" customHeight="1">
      <c r="A18" s="30">
        <v>105</v>
      </c>
      <c r="B18" s="45" t="s">
        <v>797</v>
      </c>
      <c r="C18" s="45" t="s">
        <v>38</v>
      </c>
      <c r="D18" s="46"/>
      <c r="E18" s="47">
        <v>91046</v>
      </c>
      <c r="F18" s="48">
        <v>4</v>
      </c>
      <c r="G18" s="45" t="s">
        <v>801</v>
      </c>
      <c r="H18" s="30" t="s">
        <v>802</v>
      </c>
      <c r="I18" s="45" t="s">
        <v>92</v>
      </c>
      <c r="J18" s="45" t="s">
        <v>156</v>
      </c>
      <c r="K18" s="50" t="str">
        <f>"00030111"</f>
        <v>00030111</v>
      </c>
    </row>
    <row r="19" spans="1:11" ht="45" customHeight="1">
      <c r="A19" s="30">
        <v>105</v>
      </c>
      <c r="B19" s="45" t="s">
        <v>797</v>
      </c>
      <c r="C19" s="45" t="s">
        <v>38</v>
      </c>
      <c r="D19" s="46"/>
      <c r="E19" s="47">
        <v>95371</v>
      </c>
      <c r="F19" s="48">
        <v>4</v>
      </c>
      <c r="G19" s="45" t="s">
        <v>805</v>
      </c>
      <c r="H19" s="30" t="s">
        <v>806</v>
      </c>
      <c r="I19" s="45" t="s">
        <v>107</v>
      </c>
      <c r="J19" s="51" t="s">
        <v>807</v>
      </c>
      <c r="K19" s="50" t="str">
        <f>"00030033"</f>
        <v>00030033</v>
      </c>
    </row>
    <row r="20" spans="1:11" ht="45" customHeight="1">
      <c r="A20" s="30">
        <v>105</v>
      </c>
      <c r="B20" s="45" t="s">
        <v>797</v>
      </c>
      <c r="C20" s="45" t="s">
        <v>38</v>
      </c>
      <c r="D20" s="46"/>
      <c r="E20" s="47">
        <v>79482</v>
      </c>
      <c r="F20" s="48">
        <v>4</v>
      </c>
      <c r="G20" s="53" t="s">
        <v>798</v>
      </c>
      <c r="H20" s="30" t="s">
        <v>799</v>
      </c>
      <c r="I20" s="45" t="s">
        <v>107</v>
      </c>
      <c r="J20" s="45" t="s">
        <v>800</v>
      </c>
      <c r="K20" s="50" t="str">
        <f>"00029272"</f>
        <v>00029272</v>
      </c>
    </row>
    <row r="21" spans="1:11" ht="45" customHeight="1">
      <c r="A21" s="30">
        <v>105</v>
      </c>
      <c r="B21" s="45" t="s">
        <v>797</v>
      </c>
      <c r="C21" s="45" t="s">
        <v>38</v>
      </c>
      <c r="D21" s="46"/>
      <c r="E21" s="47">
        <v>95371</v>
      </c>
      <c r="F21" s="48">
        <v>4</v>
      </c>
      <c r="G21" s="45" t="s">
        <v>805</v>
      </c>
      <c r="H21" s="30" t="s">
        <v>806</v>
      </c>
      <c r="I21" s="45" t="s">
        <v>107</v>
      </c>
      <c r="J21" s="51" t="s">
        <v>807</v>
      </c>
      <c r="K21" s="50" t="str">
        <f>"00029799"</f>
        <v>00029799</v>
      </c>
    </row>
    <row r="22" spans="1:11" ht="45" customHeight="1">
      <c r="A22" s="30">
        <v>105</v>
      </c>
      <c r="B22" s="45" t="s">
        <v>797</v>
      </c>
      <c r="C22" s="45" t="s">
        <v>38</v>
      </c>
      <c r="D22" s="46"/>
      <c r="E22" s="47">
        <v>83510</v>
      </c>
      <c r="F22" s="48">
        <v>4</v>
      </c>
      <c r="G22" s="45" t="s">
        <v>822</v>
      </c>
      <c r="H22" s="30" t="s">
        <v>823</v>
      </c>
      <c r="I22" s="45" t="s">
        <v>104</v>
      </c>
      <c r="J22" s="45" t="s">
        <v>824</v>
      </c>
      <c r="K22" s="54" t="s">
        <v>3218</v>
      </c>
    </row>
    <row r="23" spans="1:11" ht="45" customHeight="1">
      <c r="A23" s="30">
        <v>105</v>
      </c>
      <c r="B23" s="45" t="s">
        <v>797</v>
      </c>
      <c r="C23" s="45" t="s">
        <v>38</v>
      </c>
      <c r="D23" s="46"/>
      <c r="E23" s="47">
        <v>137741</v>
      </c>
      <c r="F23" s="48">
        <v>4</v>
      </c>
      <c r="G23" s="45" t="s">
        <v>808</v>
      </c>
      <c r="H23" s="30" t="s">
        <v>809</v>
      </c>
      <c r="I23" s="45" t="s">
        <v>107</v>
      </c>
      <c r="J23" s="45" t="s">
        <v>810</v>
      </c>
      <c r="K23" s="50" t="str">
        <f>"00030820"</f>
        <v>00030820</v>
      </c>
    </row>
    <row r="24" spans="1:11" s="2" customFormat="1" ht="45" customHeight="1">
      <c r="A24" s="30">
        <v>105</v>
      </c>
      <c r="B24" s="45" t="s">
        <v>797</v>
      </c>
      <c r="C24" s="45" t="s">
        <v>38</v>
      </c>
      <c r="D24" s="46"/>
      <c r="E24" s="47">
        <v>110865</v>
      </c>
      <c r="F24" s="48">
        <v>4</v>
      </c>
      <c r="G24" s="45" t="s">
        <v>811</v>
      </c>
      <c r="H24" s="30" t="s">
        <v>812</v>
      </c>
      <c r="I24" s="45" t="s">
        <v>91</v>
      </c>
      <c r="J24" s="45" t="s">
        <v>311</v>
      </c>
      <c r="K24" s="50" t="str">
        <f>"00029971"</f>
        <v>00029971</v>
      </c>
    </row>
    <row r="25" spans="1:11" ht="45" customHeight="1">
      <c r="A25" s="30">
        <v>105</v>
      </c>
      <c r="B25" s="45" t="s">
        <v>797</v>
      </c>
      <c r="C25" s="45" t="s">
        <v>38</v>
      </c>
      <c r="D25" s="46"/>
      <c r="E25" s="47">
        <v>67171</v>
      </c>
      <c r="F25" s="48">
        <v>4</v>
      </c>
      <c r="G25" s="45" t="s">
        <v>813</v>
      </c>
      <c r="H25" s="30" t="s">
        <v>814</v>
      </c>
      <c r="I25" s="45" t="s">
        <v>92</v>
      </c>
      <c r="J25" s="45" t="s">
        <v>156</v>
      </c>
      <c r="K25" s="50" t="str">
        <f>"00030640"</f>
        <v>00030640</v>
      </c>
    </row>
    <row r="26" spans="1:11" ht="45" customHeight="1">
      <c r="A26" s="30">
        <v>105</v>
      </c>
      <c r="B26" s="45" t="s">
        <v>797</v>
      </c>
      <c r="C26" s="45" t="s">
        <v>38</v>
      </c>
      <c r="D26" s="46"/>
      <c r="E26" s="47">
        <v>144750</v>
      </c>
      <c r="F26" s="48">
        <v>4</v>
      </c>
      <c r="G26" s="52" t="s">
        <v>818</v>
      </c>
      <c r="H26" s="30" t="s">
        <v>819</v>
      </c>
      <c r="I26" s="45" t="s">
        <v>107</v>
      </c>
      <c r="J26" s="45" t="s">
        <v>124</v>
      </c>
      <c r="K26" s="50" t="str">
        <f>"00029578"</f>
        <v>00029578</v>
      </c>
    </row>
    <row r="27" spans="1:11" ht="45" customHeight="1">
      <c r="A27" s="30">
        <v>105</v>
      </c>
      <c r="B27" s="45" t="s">
        <v>797</v>
      </c>
      <c r="C27" s="45" t="s">
        <v>38</v>
      </c>
      <c r="D27" s="46"/>
      <c r="E27" s="47">
        <v>99729</v>
      </c>
      <c r="F27" s="48">
        <v>4</v>
      </c>
      <c r="G27" s="55" t="s">
        <v>820</v>
      </c>
      <c r="H27" s="30" t="s">
        <v>821</v>
      </c>
      <c r="I27" s="45" t="s">
        <v>222</v>
      </c>
      <c r="J27" s="45" t="s">
        <v>359</v>
      </c>
      <c r="K27" s="50" t="s">
        <v>3217</v>
      </c>
    </row>
    <row r="28" spans="1:11" ht="45" customHeight="1">
      <c r="A28" s="30">
        <v>105</v>
      </c>
      <c r="B28" s="45" t="s">
        <v>5500</v>
      </c>
      <c r="C28" s="45" t="s">
        <v>38</v>
      </c>
      <c r="D28" s="46">
        <v>345000</v>
      </c>
      <c r="E28" s="47"/>
      <c r="F28" s="48">
        <v>4</v>
      </c>
      <c r="G28" s="45" t="s">
        <v>825</v>
      </c>
      <c r="H28" s="30"/>
      <c r="I28" s="45" t="s">
        <v>57</v>
      </c>
      <c r="J28" s="45"/>
      <c r="K28" s="50" t="str">
        <f>"　"</f>
        <v>　</v>
      </c>
    </row>
    <row r="29" spans="1:11" s="2" customFormat="1" ht="45" customHeight="1">
      <c r="A29" s="30">
        <v>105</v>
      </c>
      <c r="B29" s="45" t="s">
        <v>826</v>
      </c>
      <c r="C29" s="45" t="s">
        <v>38</v>
      </c>
      <c r="D29" s="46"/>
      <c r="E29" s="47">
        <v>268421</v>
      </c>
      <c r="F29" s="48">
        <v>4</v>
      </c>
      <c r="G29" s="53" t="s">
        <v>827</v>
      </c>
      <c r="H29" s="30" t="s">
        <v>828</v>
      </c>
      <c r="I29" s="45" t="s">
        <v>107</v>
      </c>
      <c r="J29" s="45" t="s">
        <v>108</v>
      </c>
      <c r="K29" s="50" t="str">
        <f>"00028858"</f>
        <v>00028858</v>
      </c>
    </row>
    <row r="30" spans="1:11" s="1" customFormat="1" ht="45" customHeight="1">
      <c r="A30" s="30">
        <v>105</v>
      </c>
      <c r="B30" s="45" t="s">
        <v>0</v>
      </c>
      <c r="C30" s="45" t="s">
        <v>38</v>
      </c>
      <c r="D30" s="46">
        <v>75400000</v>
      </c>
      <c r="E30" s="47"/>
      <c r="F30" s="48">
        <v>4</v>
      </c>
      <c r="G30" s="45" t="s">
        <v>829</v>
      </c>
      <c r="H30" s="30"/>
      <c r="I30" s="45" t="s">
        <v>45</v>
      </c>
      <c r="J30" s="45"/>
      <c r="K30" s="50" t="s">
        <v>90</v>
      </c>
    </row>
    <row r="31" spans="1:11" s="1" customFormat="1" ht="45" customHeight="1">
      <c r="A31" s="30"/>
      <c r="B31" s="56" t="s">
        <v>3210</v>
      </c>
      <c r="C31" s="45"/>
      <c r="D31" s="46"/>
      <c r="E31" s="47"/>
      <c r="F31" s="48"/>
      <c r="G31" s="57"/>
      <c r="H31" s="30"/>
      <c r="I31" s="45"/>
      <c r="J31" s="45"/>
      <c r="K31" s="50"/>
    </row>
    <row r="32" spans="1:11" s="1" customFormat="1" ht="45" customHeight="1">
      <c r="A32" s="30">
        <v>105</v>
      </c>
      <c r="B32" s="51" t="s">
        <v>1795</v>
      </c>
      <c r="C32" s="45" t="s">
        <v>38</v>
      </c>
      <c r="D32" s="46"/>
      <c r="E32" s="47">
        <v>82742</v>
      </c>
      <c r="F32" s="48">
        <v>4</v>
      </c>
      <c r="G32" s="53" t="s">
        <v>1796</v>
      </c>
      <c r="H32" s="30" t="s">
        <v>1798</v>
      </c>
      <c r="I32" s="45" t="s">
        <v>107</v>
      </c>
      <c r="J32" s="45" t="s">
        <v>302</v>
      </c>
      <c r="K32" s="50" t="str">
        <f>"00030692"</f>
        <v>00030692</v>
      </c>
    </row>
    <row r="33" spans="1:11" s="1" customFormat="1" ht="45" customHeight="1">
      <c r="A33" s="30">
        <v>105</v>
      </c>
      <c r="B33" s="51" t="s">
        <v>1795</v>
      </c>
      <c r="C33" s="45" t="s">
        <v>38</v>
      </c>
      <c r="D33" s="46"/>
      <c r="E33" s="47">
        <v>92228</v>
      </c>
      <c r="F33" s="48">
        <v>4</v>
      </c>
      <c r="G33" s="53" t="s">
        <v>1796</v>
      </c>
      <c r="H33" s="30" t="s">
        <v>1797</v>
      </c>
      <c r="I33" s="45" t="s">
        <v>107</v>
      </c>
      <c r="J33" s="45" t="s">
        <v>302</v>
      </c>
      <c r="K33" s="50" t="str">
        <f>"00030694"</f>
        <v>00030694</v>
      </c>
    </row>
    <row r="34" spans="1:11" s="1" customFormat="1" ht="45" customHeight="1">
      <c r="A34" s="30">
        <v>105</v>
      </c>
      <c r="B34" s="51" t="s">
        <v>1799</v>
      </c>
      <c r="C34" s="45" t="s">
        <v>38</v>
      </c>
      <c r="D34" s="46"/>
      <c r="E34" s="47">
        <v>84047</v>
      </c>
      <c r="F34" s="48">
        <v>4</v>
      </c>
      <c r="G34" s="53" t="s">
        <v>1796</v>
      </c>
      <c r="H34" s="30" t="s">
        <v>1798</v>
      </c>
      <c r="I34" s="45" t="s">
        <v>107</v>
      </c>
      <c r="J34" s="45" t="s">
        <v>302</v>
      </c>
      <c r="K34" s="50" t="str">
        <f>"00030696"</f>
        <v>00030696</v>
      </c>
    </row>
    <row r="35" spans="1:11" s="1" customFormat="1" ht="45" customHeight="1">
      <c r="A35" s="30">
        <v>105</v>
      </c>
      <c r="B35" s="51" t="s">
        <v>1799</v>
      </c>
      <c r="C35" s="45" t="s">
        <v>38</v>
      </c>
      <c r="D35" s="46"/>
      <c r="E35" s="47">
        <v>114547</v>
      </c>
      <c r="F35" s="48">
        <v>4</v>
      </c>
      <c r="G35" s="53" t="s">
        <v>1796</v>
      </c>
      <c r="H35" s="30" t="s">
        <v>1800</v>
      </c>
      <c r="I35" s="45" t="s">
        <v>107</v>
      </c>
      <c r="J35" s="45" t="s">
        <v>302</v>
      </c>
      <c r="K35" s="50" t="str">
        <f>"00030693"</f>
        <v>00030693</v>
      </c>
    </row>
    <row r="36" spans="1:11" s="1" customFormat="1" ht="45" customHeight="1">
      <c r="A36" s="31"/>
      <c r="B36" s="58" t="s">
        <v>3211</v>
      </c>
      <c r="C36" s="31"/>
      <c r="D36" s="31"/>
      <c r="E36" s="59">
        <f>SUM(E32:E35)</f>
        <v>373564</v>
      </c>
      <c r="F36" s="31"/>
      <c r="G36" s="31"/>
      <c r="H36" s="31"/>
      <c r="I36" s="31"/>
      <c r="J36" s="31"/>
      <c r="K36" s="31"/>
    </row>
    <row r="37" spans="1:11" s="1" customFormat="1" ht="45" customHeight="1">
      <c r="A37" s="30"/>
      <c r="B37" s="56" t="s">
        <v>118</v>
      </c>
      <c r="C37" s="45"/>
      <c r="D37" s="46"/>
      <c r="E37" s="47"/>
      <c r="F37" s="48"/>
      <c r="G37" s="57"/>
      <c r="H37" s="30"/>
      <c r="I37" s="45"/>
      <c r="J37" s="45"/>
      <c r="K37" s="50"/>
    </row>
    <row r="38" spans="1:11" s="2" customFormat="1" ht="45" customHeight="1">
      <c r="A38" s="30">
        <v>105</v>
      </c>
      <c r="B38" s="45" t="s">
        <v>113</v>
      </c>
      <c r="C38" s="45" t="s">
        <v>38</v>
      </c>
      <c r="D38" s="46"/>
      <c r="E38" s="47">
        <v>49990</v>
      </c>
      <c r="F38" s="48">
        <v>4</v>
      </c>
      <c r="G38" s="45" t="s">
        <v>834</v>
      </c>
      <c r="H38" s="30" t="s">
        <v>835</v>
      </c>
      <c r="I38" s="45" t="s">
        <v>102</v>
      </c>
      <c r="J38" s="45" t="s">
        <v>836</v>
      </c>
      <c r="K38" s="50" t="str">
        <f>"00028808"</f>
        <v>00028808</v>
      </c>
    </row>
    <row r="39" spans="1:11" s="1" customFormat="1" ht="45" customHeight="1">
      <c r="A39" s="30">
        <v>105</v>
      </c>
      <c r="B39" s="45" t="s">
        <v>837</v>
      </c>
      <c r="C39" s="45" t="s">
        <v>38</v>
      </c>
      <c r="D39" s="46"/>
      <c r="E39" s="47">
        <v>54175</v>
      </c>
      <c r="F39" s="48">
        <v>4</v>
      </c>
      <c r="G39" s="45" t="s">
        <v>838</v>
      </c>
      <c r="H39" s="30" t="s">
        <v>839</v>
      </c>
      <c r="I39" s="45" t="s">
        <v>107</v>
      </c>
      <c r="J39" s="45" t="s">
        <v>840</v>
      </c>
      <c r="K39" s="50" t="str">
        <f>"00028347"</f>
        <v>00028347</v>
      </c>
    </row>
    <row r="40" spans="1:11" s="1" customFormat="1" ht="45" customHeight="1">
      <c r="A40" s="30">
        <v>105</v>
      </c>
      <c r="B40" s="45" t="s">
        <v>830</v>
      </c>
      <c r="C40" s="45" t="s">
        <v>38</v>
      </c>
      <c r="D40" s="46"/>
      <c r="E40" s="47">
        <v>11068</v>
      </c>
      <c r="F40" s="48">
        <v>4</v>
      </c>
      <c r="G40" s="45" t="s">
        <v>831</v>
      </c>
      <c r="H40" s="30" t="s">
        <v>832</v>
      </c>
      <c r="I40" s="45" t="s">
        <v>104</v>
      </c>
      <c r="J40" s="45" t="s">
        <v>833</v>
      </c>
      <c r="K40" s="50" t="str">
        <f>"00028439"</f>
        <v>00028439</v>
      </c>
    </row>
    <row r="41" spans="1:11" s="1" customFormat="1" ht="45" customHeight="1">
      <c r="A41" s="30">
        <v>105</v>
      </c>
      <c r="B41" s="45" t="s">
        <v>139</v>
      </c>
      <c r="C41" s="45" t="s">
        <v>38</v>
      </c>
      <c r="D41" s="46"/>
      <c r="E41" s="47">
        <v>185261</v>
      </c>
      <c r="F41" s="48">
        <v>4</v>
      </c>
      <c r="G41" s="49" t="s">
        <v>4054</v>
      </c>
      <c r="H41" s="30" t="s">
        <v>4055</v>
      </c>
      <c r="I41" s="45" t="s">
        <v>111</v>
      </c>
      <c r="J41" s="45" t="s">
        <v>115</v>
      </c>
      <c r="K41" s="50" t="str">
        <f>"00028201"</f>
        <v>00028201</v>
      </c>
    </row>
    <row r="42" spans="1:11" s="1" customFormat="1" ht="45" customHeight="1">
      <c r="A42" s="30">
        <v>105</v>
      </c>
      <c r="B42" s="45" t="s">
        <v>841</v>
      </c>
      <c r="C42" s="45" t="s">
        <v>38</v>
      </c>
      <c r="D42" s="46"/>
      <c r="E42" s="47">
        <v>97455</v>
      </c>
      <c r="F42" s="48">
        <v>4</v>
      </c>
      <c r="G42" s="45" t="s">
        <v>842</v>
      </c>
      <c r="H42" s="30" t="s">
        <v>843</v>
      </c>
      <c r="I42" s="45" t="s">
        <v>269</v>
      </c>
      <c r="J42" s="45" t="s">
        <v>844</v>
      </c>
      <c r="K42" s="50" t="str">
        <f>"00030595"</f>
        <v>00030595</v>
      </c>
    </row>
    <row r="43" spans="1:11" s="1" customFormat="1" ht="45" customHeight="1">
      <c r="A43" s="30">
        <v>105</v>
      </c>
      <c r="B43" s="45" t="s">
        <v>4056</v>
      </c>
      <c r="C43" s="45" t="s">
        <v>38</v>
      </c>
      <c r="D43" s="46"/>
      <c r="E43" s="47">
        <v>55785</v>
      </c>
      <c r="F43" s="48">
        <v>4</v>
      </c>
      <c r="G43" s="51" t="s">
        <v>4057</v>
      </c>
      <c r="H43" s="30" t="s">
        <v>4058</v>
      </c>
      <c r="I43" s="45" t="s">
        <v>92</v>
      </c>
      <c r="J43" s="45" t="s">
        <v>156</v>
      </c>
      <c r="K43" s="50" t="str">
        <f>"00028013"</f>
        <v>00028013</v>
      </c>
    </row>
    <row r="44" spans="1:11" s="1" customFormat="1" ht="45" customHeight="1">
      <c r="A44" s="30">
        <v>105</v>
      </c>
      <c r="B44" s="45" t="s">
        <v>4059</v>
      </c>
      <c r="C44" s="45" t="s">
        <v>38</v>
      </c>
      <c r="D44" s="46"/>
      <c r="E44" s="47">
        <v>8012</v>
      </c>
      <c r="F44" s="48">
        <v>4</v>
      </c>
      <c r="G44" s="45" t="s">
        <v>834</v>
      </c>
      <c r="H44" s="30" t="s">
        <v>835</v>
      </c>
      <c r="I44" s="45" t="s">
        <v>102</v>
      </c>
      <c r="J44" s="45" t="s">
        <v>836</v>
      </c>
      <c r="K44" s="50" t="str">
        <f>"00028808"</f>
        <v>00028808</v>
      </c>
    </row>
    <row r="45" spans="1:11" s="1" customFormat="1" ht="45" customHeight="1">
      <c r="A45" s="30"/>
      <c r="B45" s="58" t="s">
        <v>105</v>
      </c>
      <c r="C45" s="45"/>
      <c r="D45" s="46"/>
      <c r="E45" s="47">
        <f>SUM(E38:E44)</f>
        <v>461746</v>
      </c>
      <c r="F45" s="30"/>
      <c r="G45" s="45"/>
      <c r="H45" s="45"/>
      <c r="I45" s="45"/>
      <c r="J45" s="45"/>
      <c r="K45" s="45"/>
    </row>
    <row r="46" spans="1:11" s="1" customFormat="1" ht="45" customHeight="1">
      <c r="A46" s="30"/>
      <c r="B46" s="60" t="s">
        <v>210</v>
      </c>
      <c r="C46" s="45"/>
      <c r="D46" s="46"/>
      <c r="E46" s="47"/>
      <c r="F46" s="48"/>
      <c r="G46" s="45"/>
      <c r="H46" s="30"/>
      <c r="I46" s="45"/>
      <c r="J46" s="45"/>
      <c r="K46" s="50"/>
    </row>
    <row r="47" spans="1:247" s="24" customFormat="1" ht="45" customHeight="1">
      <c r="A47" s="30">
        <v>105</v>
      </c>
      <c r="B47" s="45" t="s">
        <v>1001</v>
      </c>
      <c r="C47" s="45" t="s">
        <v>38</v>
      </c>
      <c r="D47" s="46"/>
      <c r="E47" s="47">
        <v>221484</v>
      </c>
      <c r="F47" s="48">
        <v>4</v>
      </c>
      <c r="G47" s="45" t="s">
        <v>1002</v>
      </c>
      <c r="H47" s="30" t="s">
        <v>1003</v>
      </c>
      <c r="I47" s="45" t="s">
        <v>107</v>
      </c>
      <c r="J47" s="45" t="s">
        <v>108</v>
      </c>
      <c r="K47" s="61" t="s">
        <v>5937</v>
      </c>
      <c r="L47" s="17"/>
      <c r="M47" s="16"/>
      <c r="N47" s="18"/>
      <c r="O47" s="19"/>
      <c r="P47" s="20"/>
      <c r="Q47" s="21"/>
      <c r="R47" s="18"/>
      <c r="S47" s="17"/>
      <c r="T47" s="18"/>
      <c r="U47" s="18"/>
      <c r="V47" s="18"/>
      <c r="W47" s="17"/>
      <c r="X47" s="17"/>
      <c r="Y47" s="17"/>
      <c r="Z47" s="17"/>
      <c r="AA47" s="17"/>
      <c r="AB47" s="17"/>
      <c r="AC47" s="17"/>
      <c r="AD47" s="17"/>
      <c r="AE47" s="22"/>
      <c r="AF47" s="17"/>
      <c r="AG47" s="16"/>
      <c r="AH47" s="18"/>
      <c r="AI47" s="19"/>
      <c r="AJ47" s="20"/>
      <c r="AK47" s="21"/>
      <c r="AL47" s="18"/>
      <c r="AM47" s="17"/>
      <c r="AN47" s="18"/>
      <c r="AO47" s="18"/>
      <c r="AP47" s="18"/>
      <c r="AQ47" s="17"/>
      <c r="AR47" s="17"/>
      <c r="AS47" s="17"/>
      <c r="AT47" s="17"/>
      <c r="AU47" s="17"/>
      <c r="AV47" s="17"/>
      <c r="AW47" s="17"/>
      <c r="AX47" s="17"/>
      <c r="AY47" s="22"/>
      <c r="AZ47" s="17"/>
      <c r="BA47" s="16"/>
      <c r="BB47" s="18"/>
      <c r="BC47" s="19"/>
      <c r="BD47" s="20"/>
      <c r="BE47" s="21"/>
      <c r="BF47" s="18"/>
      <c r="BG47" s="17"/>
      <c r="BH47" s="18"/>
      <c r="BI47" s="18"/>
      <c r="BJ47" s="18"/>
      <c r="BK47" s="17"/>
      <c r="BL47" s="17"/>
      <c r="BM47" s="17"/>
      <c r="BN47" s="17"/>
      <c r="BO47" s="17"/>
      <c r="BP47" s="17"/>
      <c r="BQ47" s="17"/>
      <c r="BR47" s="17"/>
      <c r="BS47" s="22"/>
      <c r="BT47" s="17"/>
      <c r="BU47" s="16"/>
      <c r="BV47" s="18"/>
      <c r="BW47" s="19"/>
      <c r="BX47" s="20"/>
      <c r="BY47" s="21"/>
      <c r="BZ47" s="18"/>
      <c r="CA47" s="17"/>
      <c r="CB47" s="18"/>
      <c r="CC47" s="18"/>
      <c r="CD47" s="18"/>
      <c r="CE47" s="17"/>
      <c r="CF47" s="17"/>
      <c r="CG47" s="17"/>
      <c r="CH47" s="17"/>
      <c r="CI47" s="17"/>
      <c r="CJ47" s="17"/>
      <c r="CK47" s="17"/>
      <c r="CL47" s="17"/>
      <c r="CM47" s="22"/>
      <c r="CN47" s="17"/>
      <c r="CO47" s="16"/>
      <c r="CP47" s="18"/>
      <c r="CQ47" s="19"/>
      <c r="CR47" s="20"/>
      <c r="CS47" s="21"/>
      <c r="CT47" s="18"/>
      <c r="CU47" s="17"/>
      <c r="CV47" s="18"/>
      <c r="CW47" s="18"/>
      <c r="CX47" s="18"/>
      <c r="CY47" s="17"/>
      <c r="CZ47" s="17"/>
      <c r="DA47" s="17"/>
      <c r="DB47" s="17"/>
      <c r="DC47" s="17"/>
      <c r="DD47" s="17"/>
      <c r="DE47" s="17"/>
      <c r="DF47" s="17"/>
      <c r="DG47" s="22"/>
      <c r="DH47" s="17"/>
      <c r="DI47" s="16"/>
      <c r="DJ47" s="18"/>
      <c r="DK47" s="19"/>
      <c r="DL47" s="20"/>
      <c r="DM47" s="21"/>
      <c r="DN47" s="18"/>
      <c r="DO47" s="17"/>
      <c r="DP47" s="18"/>
      <c r="DQ47" s="18"/>
      <c r="DR47" s="18"/>
      <c r="DS47" s="17"/>
      <c r="DT47" s="17"/>
      <c r="DU47" s="17"/>
      <c r="DV47" s="17"/>
      <c r="DW47" s="17"/>
      <c r="DX47" s="17"/>
      <c r="DY47" s="17"/>
      <c r="DZ47" s="17"/>
      <c r="EA47" s="22"/>
      <c r="EB47" s="17"/>
      <c r="EC47" s="16"/>
      <c r="ED47" s="18"/>
      <c r="EE47" s="19"/>
      <c r="EF47" s="20"/>
      <c r="EG47" s="21"/>
      <c r="EH47" s="18"/>
      <c r="EI47" s="17"/>
      <c r="EJ47" s="18"/>
      <c r="EK47" s="18"/>
      <c r="EL47" s="18"/>
      <c r="EM47" s="17"/>
      <c r="EN47" s="17"/>
      <c r="EO47" s="17"/>
      <c r="EP47" s="17"/>
      <c r="EQ47" s="17"/>
      <c r="ER47" s="17"/>
      <c r="ES47" s="17"/>
      <c r="ET47" s="17"/>
      <c r="EU47" s="22"/>
      <c r="EV47" s="17"/>
      <c r="EW47" s="16"/>
      <c r="EX47" s="18"/>
      <c r="EY47" s="19"/>
      <c r="EZ47" s="20"/>
      <c r="FA47" s="21"/>
      <c r="FB47" s="18"/>
      <c r="FC47" s="17"/>
      <c r="FD47" s="18"/>
      <c r="FE47" s="18"/>
      <c r="FF47" s="18"/>
      <c r="FG47" s="17"/>
      <c r="FH47" s="17"/>
      <c r="FI47" s="17"/>
      <c r="FJ47" s="17"/>
      <c r="FK47" s="17"/>
      <c r="FL47" s="17"/>
      <c r="FM47" s="17"/>
      <c r="FN47" s="17"/>
      <c r="FO47" s="22"/>
      <c r="FP47" s="17"/>
      <c r="FQ47" s="16"/>
      <c r="FR47" s="18"/>
      <c r="FS47" s="19"/>
      <c r="FT47" s="20"/>
      <c r="FU47" s="21"/>
      <c r="FV47" s="18"/>
      <c r="FW47" s="17"/>
      <c r="FX47" s="18"/>
      <c r="FY47" s="18"/>
      <c r="FZ47" s="18"/>
      <c r="GA47" s="17"/>
      <c r="GB47" s="17"/>
      <c r="GC47" s="17"/>
      <c r="GD47" s="17"/>
      <c r="GE47" s="17"/>
      <c r="GF47" s="17"/>
      <c r="GG47" s="17"/>
      <c r="GH47" s="17"/>
      <c r="GI47" s="22"/>
      <c r="GJ47" s="17"/>
      <c r="GK47" s="16"/>
      <c r="GL47" s="18"/>
      <c r="GM47" s="19"/>
      <c r="GN47" s="20"/>
      <c r="GO47" s="21"/>
      <c r="GP47" s="18"/>
      <c r="GQ47" s="17"/>
      <c r="GR47" s="18"/>
      <c r="GS47" s="18"/>
      <c r="GT47" s="18"/>
      <c r="GU47" s="17"/>
      <c r="GV47" s="17"/>
      <c r="GW47" s="17"/>
      <c r="GX47" s="17"/>
      <c r="GY47" s="17"/>
      <c r="GZ47" s="17"/>
      <c r="HA47" s="17"/>
      <c r="HB47" s="17"/>
      <c r="HC47" s="22"/>
      <c r="HD47" s="17"/>
      <c r="HE47" s="16"/>
      <c r="HF47" s="18"/>
      <c r="HG47" s="19"/>
      <c r="HH47" s="20"/>
      <c r="HI47" s="21"/>
      <c r="HJ47" s="18"/>
      <c r="HK47" s="17"/>
      <c r="HL47" s="18"/>
      <c r="HM47" s="18"/>
      <c r="HN47" s="18"/>
      <c r="HO47" s="17"/>
      <c r="HP47" s="17"/>
      <c r="HQ47" s="17"/>
      <c r="HR47" s="17"/>
      <c r="HS47" s="17"/>
      <c r="HT47" s="17"/>
      <c r="HU47" s="17"/>
      <c r="HV47" s="17"/>
      <c r="HW47" s="22"/>
      <c r="HX47" s="17"/>
      <c r="HY47" s="16"/>
      <c r="HZ47" s="18"/>
      <c r="IA47" s="19"/>
      <c r="IB47" s="20"/>
      <c r="IC47" s="21"/>
      <c r="ID47" s="18"/>
      <c r="IE47" s="17"/>
      <c r="IF47" s="18"/>
      <c r="IG47" s="18"/>
      <c r="IH47" s="18"/>
      <c r="II47" s="17"/>
      <c r="IJ47" s="17"/>
      <c r="IK47" s="17"/>
      <c r="IL47" s="17"/>
      <c r="IM47" s="17"/>
    </row>
    <row r="48" spans="1:247" s="24" customFormat="1" ht="45" customHeight="1">
      <c r="A48" s="30">
        <v>105</v>
      </c>
      <c r="B48" s="45" t="s">
        <v>1001</v>
      </c>
      <c r="C48" s="45" t="s">
        <v>38</v>
      </c>
      <c r="D48" s="46"/>
      <c r="E48" s="47">
        <v>106504</v>
      </c>
      <c r="F48" s="48">
        <v>4</v>
      </c>
      <c r="G48" s="51" t="s">
        <v>1008</v>
      </c>
      <c r="H48" s="30" t="s">
        <v>1009</v>
      </c>
      <c r="I48" s="45" t="s">
        <v>154</v>
      </c>
      <c r="J48" s="45" t="s">
        <v>155</v>
      </c>
      <c r="K48" s="61" t="s">
        <v>5938</v>
      </c>
      <c r="L48" s="17"/>
      <c r="M48" s="16"/>
      <c r="N48" s="18"/>
      <c r="O48" s="19"/>
      <c r="P48" s="20"/>
      <c r="Q48" s="21"/>
      <c r="R48" s="18"/>
      <c r="S48" s="17"/>
      <c r="T48" s="18"/>
      <c r="U48" s="18"/>
      <c r="V48" s="18"/>
      <c r="W48" s="17"/>
      <c r="X48" s="17"/>
      <c r="Y48" s="17"/>
      <c r="Z48" s="17"/>
      <c r="AA48" s="17"/>
      <c r="AB48" s="17"/>
      <c r="AC48" s="17"/>
      <c r="AD48" s="17"/>
      <c r="AE48" s="22"/>
      <c r="AF48" s="17"/>
      <c r="AG48" s="16"/>
      <c r="AH48" s="18"/>
      <c r="AI48" s="19"/>
      <c r="AJ48" s="20"/>
      <c r="AK48" s="21"/>
      <c r="AL48" s="18"/>
      <c r="AM48" s="17"/>
      <c r="AN48" s="18"/>
      <c r="AO48" s="18"/>
      <c r="AP48" s="18"/>
      <c r="AQ48" s="17"/>
      <c r="AR48" s="17"/>
      <c r="AS48" s="17"/>
      <c r="AT48" s="17"/>
      <c r="AU48" s="17"/>
      <c r="AV48" s="17"/>
      <c r="AW48" s="17"/>
      <c r="AX48" s="17"/>
      <c r="AY48" s="22"/>
      <c r="AZ48" s="17"/>
      <c r="BA48" s="16"/>
      <c r="BB48" s="18"/>
      <c r="BC48" s="19"/>
      <c r="BD48" s="20"/>
      <c r="BE48" s="21"/>
      <c r="BF48" s="18"/>
      <c r="BG48" s="17"/>
      <c r="BH48" s="18"/>
      <c r="BI48" s="18"/>
      <c r="BJ48" s="18"/>
      <c r="BK48" s="17"/>
      <c r="BL48" s="17"/>
      <c r="BM48" s="17"/>
      <c r="BN48" s="17"/>
      <c r="BO48" s="17"/>
      <c r="BP48" s="17"/>
      <c r="BQ48" s="17"/>
      <c r="BR48" s="17"/>
      <c r="BS48" s="22"/>
      <c r="BT48" s="17"/>
      <c r="BU48" s="16"/>
      <c r="BV48" s="18"/>
      <c r="BW48" s="19"/>
      <c r="BX48" s="20"/>
      <c r="BY48" s="21"/>
      <c r="BZ48" s="18"/>
      <c r="CA48" s="17"/>
      <c r="CB48" s="18"/>
      <c r="CC48" s="18"/>
      <c r="CD48" s="18"/>
      <c r="CE48" s="17"/>
      <c r="CF48" s="17"/>
      <c r="CG48" s="17"/>
      <c r="CH48" s="17"/>
      <c r="CI48" s="17"/>
      <c r="CJ48" s="17"/>
      <c r="CK48" s="17"/>
      <c r="CL48" s="17"/>
      <c r="CM48" s="22"/>
      <c r="CN48" s="17"/>
      <c r="CO48" s="16"/>
      <c r="CP48" s="18"/>
      <c r="CQ48" s="19"/>
      <c r="CR48" s="20"/>
      <c r="CS48" s="21"/>
      <c r="CT48" s="18"/>
      <c r="CU48" s="17"/>
      <c r="CV48" s="18"/>
      <c r="CW48" s="18"/>
      <c r="CX48" s="18"/>
      <c r="CY48" s="17"/>
      <c r="CZ48" s="17"/>
      <c r="DA48" s="17"/>
      <c r="DB48" s="17"/>
      <c r="DC48" s="17"/>
      <c r="DD48" s="17"/>
      <c r="DE48" s="17"/>
      <c r="DF48" s="17"/>
      <c r="DG48" s="22"/>
      <c r="DH48" s="17"/>
      <c r="DI48" s="16"/>
      <c r="DJ48" s="18"/>
      <c r="DK48" s="19"/>
      <c r="DL48" s="20"/>
      <c r="DM48" s="21"/>
      <c r="DN48" s="18"/>
      <c r="DO48" s="17"/>
      <c r="DP48" s="18"/>
      <c r="DQ48" s="18"/>
      <c r="DR48" s="18"/>
      <c r="DS48" s="17"/>
      <c r="DT48" s="17"/>
      <c r="DU48" s="17"/>
      <c r="DV48" s="17"/>
      <c r="DW48" s="17"/>
      <c r="DX48" s="17"/>
      <c r="DY48" s="17"/>
      <c r="DZ48" s="17"/>
      <c r="EA48" s="22"/>
      <c r="EB48" s="17"/>
      <c r="EC48" s="16"/>
      <c r="ED48" s="18"/>
      <c r="EE48" s="19"/>
      <c r="EF48" s="20"/>
      <c r="EG48" s="21"/>
      <c r="EH48" s="18"/>
      <c r="EI48" s="17"/>
      <c r="EJ48" s="18"/>
      <c r="EK48" s="18"/>
      <c r="EL48" s="18"/>
      <c r="EM48" s="17"/>
      <c r="EN48" s="17"/>
      <c r="EO48" s="17"/>
      <c r="EP48" s="17"/>
      <c r="EQ48" s="17"/>
      <c r="ER48" s="17"/>
      <c r="ES48" s="17"/>
      <c r="ET48" s="17"/>
      <c r="EU48" s="22"/>
      <c r="EV48" s="17"/>
      <c r="EW48" s="16"/>
      <c r="EX48" s="18"/>
      <c r="EY48" s="19"/>
      <c r="EZ48" s="20"/>
      <c r="FA48" s="21"/>
      <c r="FB48" s="18"/>
      <c r="FC48" s="17"/>
      <c r="FD48" s="18"/>
      <c r="FE48" s="18"/>
      <c r="FF48" s="18"/>
      <c r="FG48" s="17"/>
      <c r="FH48" s="17"/>
      <c r="FI48" s="17"/>
      <c r="FJ48" s="17"/>
      <c r="FK48" s="17"/>
      <c r="FL48" s="17"/>
      <c r="FM48" s="17"/>
      <c r="FN48" s="17"/>
      <c r="FO48" s="22"/>
      <c r="FP48" s="17"/>
      <c r="FQ48" s="16"/>
      <c r="FR48" s="18"/>
      <c r="FS48" s="19"/>
      <c r="FT48" s="20"/>
      <c r="FU48" s="21"/>
      <c r="FV48" s="18"/>
      <c r="FW48" s="17"/>
      <c r="FX48" s="18"/>
      <c r="FY48" s="18"/>
      <c r="FZ48" s="18"/>
      <c r="GA48" s="17"/>
      <c r="GB48" s="17"/>
      <c r="GC48" s="17"/>
      <c r="GD48" s="17"/>
      <c r="GE48" s="17"/>
      <c r="GF48" s="17"/>
      <c r="GG48" s="17"/>
      <c r="GH48" s="17"/>
      <c r="GI48" s="22"/>
      <c r="GJ48" s="17"/>
      <c r="GK48" s="16"/>
      <c r="GL48" s="18"/>
      <c r="GM48" s="19"/>
      <c r="GN48" s="20"/>
      <c r="GO48" s="21"/>
      <c r="GP48" s="18"/>
      <c r="GQ48" s="17"/>
      <c r="GR48" s="18"/>
      <c r="GS48" s="18"/>
      <c r="GT48" s="18"/>
      <c r="GU48" s="17"/>
      <c r="GV48" s="17"/>
      <c r="GW48" s="17"/>
      <c r="GX48" s="17"/>
      <c r="GY48" s="17"/>
      <c r="GZ48" s="17"/>
      <c r="HA48" s="17"/>
      <c r="HB48" s="17"/>
      <c r="HC48" s="22"/>
      <c r="HD48" s="17"/>
      <c r="HE48" s="16"/>
      <c r="HF48" s="18"/>
      <c r="HG48" s="19"/>
      <c r="HH48" s="20"/>
      <c r="HI48" s="21"/>
      <c r="HJ48" s="18"/>
      <c r="HK48" s="17"/>
      <c r="HL48" s="18"/>
      <c r="HM48" s="18"/>
      <c r="HN48" s="18"/>
      <c r="HO48" s="17"/>
      <c r="HP48" s="17"/>
      <c r="HQ48" s="17"/>
      <c r="HR48" s="17"/>
      <c r="HS48" s="17"/>
      <c r="HT48" s="17"/>
      <c r="HU48" s="17"/>
      <c r="HV48" s="17"/>
      <c r="HW48" s="22"/>
      <c r="HX48" s="17"/>
      <c r="HY48" s="16"/>
      <c r="HZ48" s="18"/>
      <c r="IA48" s="19"/>
      <c r="IB48" s="20"/>
      <c r="IC48" s="21"/>
      <c r="ID48" s="18"/>
      <c r="IE48" s="17"/>
      <c r="IF48" s="18"/>
      <c r="IG48" s="18"/>
      <c r="IH48" s="18"/>
      <c r="II48" s="17"/>
      <c r="IJ48" s="17"/>
      <c r="IK48" s="17"/>
      <c r="IL48" s="17"/>
      <c r="IM48" s="17"/>
    </row>
    <row r="49" spans="1:247" s="24" customFormat="1" ht="45" customHeight="1">
      <c r="A49" s="30">
        <v>105</v>
      </c>
      <c r="B49" s="45" t="s">
        <v>970</v>
      </c>
      <c r="C49" s="45" t="s">
        <v>38</v>
      </c>
      <c r="D49" s="46"/>
      <c r="E49" s="47">
        <v>349828</v>
      </c>
      <c r="F49" s="48">
        <v>4</v>
      </c>
      <c r="G49" s="45" t="s">
        <v>1007</v>
      </c>
      <c r="H49" s="30" t="s">
        <v>911</v>
      </c>
      <c r="I49" s="45" t="s">
        <v>222</v>
      </c>
      <c r="J49" s="45" t="s">
        <v>223</v>
      </c>
      <c r="K49" s="50" t="str">
        <f>"00023998"</f>
        <v>00023998</v>
      </c>
      <c r="L49" s="17"/>
      <c r="M49" s="16"/>
      <c r="N49" s="18"/>
      <c r="O49" s="19"/>
      <c r="P49" s="20"/>
      <c r="Q49" s="21"/>
      <c r="R49" s="18"/>
      <c r="S49" s="17"/>
      <c r="T49" s="18"/>
      <c r="U49" s="18"/>
      <c r="V49" s="18"/>
      <c r="W49" s="17"/>
      <c r="X49" s="17"/>
      <c r="Y49" s="17"/>
      <c r="Z49" s="17"/>
      <c r="AA49" s="17"/>
      <c r="AB49" s="17"/>
      <c r="AC49" s="17"/>
      <c r="AD49" s="17"/>
      <c r="AE49" s="22"/>
      <c r="AF49" s="17"/>
      <c r="AG49" s="16"/>
      <c r="AH49" s="18"/>
      <c r="AI49" s="19"/>
      <c r="AJ49" s="20"/>
      <c r="AK49" s="21"/>
      <c r="AL49" s="18"/>
      <c r="AM49" s="17"/>
      <c r="AN49" s="18"/>
      <c r="AO49" s="18"/>
      <c r="AP49" s="18"/>
      <c r="AQ49" s="17"/>
      <c r="AR49" s="17"/>
      <c r="AS49" s="17"/>
      <c r="AT49" s="17"/>
      <c r="AU49" s="17"/>
      <c r="AV49" s="17"/>
      <c r="AW49" s="17"/>
      <c r="AX49" s="17"/>
      <c r="AY49" s="22"/>
      <c r="AZ49" s="17"/>
      <c r="BA49" s="16"/>
      <c r="BB49" s="18"/>
      <c r="BC49" s="19"/>
      <c r="BD49" s="20"/>
      <c r="BE49" s="21"/>
      <c r="BF49" s="18"/>
      <c r="BG49" s="17"/>
      <c r="BH49" s="18"/>
      <c r="BI49" s="18"/>
      <c r="BJ49" s="18"/>
      <c r="BK49" s="17"/>
      <c r="BL49" s="17"/>
      <c r="BM49" s="17"/>
      <c r="BN49" s="17"/>
      <c r="BO49" s="17"/>
      <c r="BP49" s="17"/>
      <c r="BQ49" s="17"/>
      <c r="BR49" s="17"/>
      <c r="BS49" s="22"/>
      <c r="BT49" s="17"/>
      <c r="BU49" s="16"/>
      <c r="BV49" s="18"/>
      <c r="BW49" s="19"/>
      <c r="BX49" s="20"/>
      <c r="BY49" s="21"/>
      <c r="BZ49" s="18"/>
      <c r="CA49" s="17"/>
      <c r="CB49" s="18"/>
      <c r="CC49" s="18"/>
      <c r="CD49" s="18"/>
      <c r="CE49" s="17"/>
      <c r="CF49" s="17"/>
      <c r="CG49" s="17"/>
      <c r="CH49" s="17"/>
      <c r="CI49" s="17"/>
      <c r="CJ49" s="17"/>
      <c r="CK49" s="17"/>
      <c r="CL49" s="17"/>
      <c r="CM49" s="22"/>
      <c r="CN49" s="17"/>
      <c r="CO49" s="16"/>
      <c r="CP49" s="18"/>
      <c r="CQ49" s="19"/>
      <c r="CR49" s="20"/>
      <c r="CS49" s="21"/>
      <c r="CT49" s="18"/>
      <c r="CU49" s="17"/>
      <c r="CV49" s="18"/>
      <c r="CW49" s="18"/>
      <c r="CX49" s="18"/>
      <c r="CY49" s="17"/>
      <c r="CZ49" s="17"/>
      <c r="DA49" s="17"/>
      <c r="DB49" s="17"/>
      <c r="DC49" s="17"/>
      <c r="DD49" s="17"/>
      <c r="DE49" s="17"/>
      <c r="DF49" s="17"/>
      <c r="DG49" s="22"/>
      <c r="DH49" s="17"/>
      <c r="DI49" s="16"/>
      <c r="DJ49" s="18"/>
      <c r="DK49" s="19"/>
      <c r="DL49" s="20"/>
      <c r="DM49" s="21"/>
      <c r="DN49" s="18"/>
      <c r="DO49" s="17"/>
      <c r="DP49" s="18"/>
      <c r="DQ49" s="18"/>
      <c r="DR49" s="18"/>
      <c r="DS49" s="17"/>
      <c r="DT49" s="17"/>
      <c r="DU49" s="17"/>
      <c r="DV49" s="17"/>
      <c r="DW49" s="17"/>
      <c r="DX49" s="17"/>
      <c r="DY49" s="17"/>
      <c r="DZ49" s="17"/>
      <c r="EA49" s="22"/>
      <c r="EB49" s="17"/>
      <c r="EC49" s="16"/>
      <c r="ED49" s="18"/>
      <c r="EE49" s="19"/>
      <c r="EF49" s="20"/>
      <c r="EG49" s="21"/>
      <c r="EH49" s="18"/>
      <c r="EI49" s="17"/>
      <c r="EJ49" s="18"/>
      <c r="EK49" s="18"/>
      <c r="EL49" s="18"/>
      <c r="EM49" s="17"/>
      <c r="EN49" s="17"/>
      <c r="EO49" s="17"/>
      <c r="EP49" s="17"/>
      <c r="EQ49" s="17"/>
      <c r="ER49" s="17"/>
      <c r="ES49" s="17"/>
      <c r="ET49" s="17"/>
      <c r="EU49" s="22"/>
      <c r="EV49" s="17"/>
      <c r="EW49" s="16"/>
      <c r="EX49" s="18"/>
      <c r="EY49" s="19"/>
      <c r="EZ49" s="20"/>
      <c r="FA49" s="21"/>
      <c r="FB49" s="18"/>
      <c r="FC49" s="17"/>
      <c r="FD49" s="18"/>
      <c r="FE49" s="18"/>
      <c r="FF49" s="18"/>
      <c r="FG49" s="17"/>
      <c r="FH49" s="17"/>
      <c r="FI49" s="17"/>
      <c r="FJ49" s="17"/>
      <c r="FK49" s="17"/>
      <c r="FL49" s="17"/>
      <c r="FM49" s="17"/>
      <c r="FN49" s="17"/>
      <c r="FO49" s="22"/>
      <c r="FP49" s="17"/>
      <c r="FQ49" s="16"/>
      <c r="FR49" s="18"/>
      <c r="FS49" s="19"/>
      <c r="FT49" s="20"/>
      <c r="FU49" s="21"/>
      <c r="FV49" s="18"/>
      <c r="FW49" s="17"/>
      <c r="FX49" s="18"/>
      <c r="FY49" s="18"/>
      <c r="FZ49" s="18"/>
      <c r="GA49" s="17"/>
      <c r="GB49" s="17"/>
      <c r="GC49" s="17"/>
      <c r="GD49" s="17"/>
      <c r="GE49" s="17"/>
      <c r="GF49" s="17"/>
      <c r="GG49" s="17"/>
      <c r="GH49" s="17"/>
      <c r="GI49" s="22"/>
      <c r="GJ49" s="17"/>
      <c r="GK49" s="16"/>
      <c r="GL49" s="18"/>
      <c r="GM49" s="19"/>
      <c r="GN49" s="20"/>
      <c r="GO49" s="21"/>
      <c r="GP49" s="18"/>
      <c r="GQ49" s="17"/>
      <c r="GR49" s="18"/>
      <c r="GS49" s="18"/>
      <c r="GT49" s="18"/>
      <c r="GU49" s="17"/>
      <c r="GV49" s="17"/>
      <c r="GW49" s="17"/>
      <c r="GX49" s="17"/>
      <c r="GY49" s="17"/>
      <c r="GZ49" s="17"/>
      <c r="HA49" s="17"/>
      <c r="HB49" s="17"/>
      <c r="HC49" s="22"/>
      <c r="HD49" s="17"/>
      <c r="HE49" s="16"/>
      <c r="HF49" s="18"/>
      <c r="HG49" s="19"/>
      <c r="HH49" s="20"/>
      <c r="HI49" s="21"/>
      <c r="HJ49" s="18"/>
      <c r="HK49" s="17"/>
      <c r="HL49" s="18"/>
      <c r="HM49" s="18"/>
      <c r="HN49" s="18"/>
      <c r="HO49" s="17"/>
      <c r="HP49" s="17"/>
      <c r="HQ49" s="17"/>
      <c r="HR49" s="17"/>
      <c r="HS49" s="17"/>
      <c r="HT49" s="17"/>
      <c r="HU49" s="17"/>
      <c r="HV49" s="17"/>
      <c r="HW49" s="22"/>
      <c r="HX49" s="17"/>
      <c r="HY49" s="16"/>
      <c r="HZ49" s="18"/>
      <c r="IA49" s="19"/>
      <c r="IB49" s="20"/>
      <c r="IC49" s="21"/>
      <c r="ID49" s="18"/>
      <c r="IE49" s="17"/>
      <c r="IF49" s="18"/>
      <c r="IG49" s="18"/>
      <c r="IH49" s="18"/>
      <c r="II49" s="17"/>
      <c r="IJ49" s="17"/>
      <c r="IK49" s="17"/>
      <c r="IL49" s="17"/>
      <c r="IM49" s="17"/>
    </row>
    <row r="50" spans="1:247" s="24" customFormat="1" ht="45" customHeight="1">
      <c r="A50" s="30">
        <v>105</v>
      </c>
      <c r="B50" s="45" t="s">
        <v>221</v>
      </c>
      <c r="C50" s="45" t="s">
        <v>38</v>
      </c>
      <c r="D50" s="46"/>
      <c r="E50" s="47">
        <v>138521</v>
      </c>
      <c r="F50" s="48">
        <v>4</v>
      </c>
      <c r="G50" s="49" t="s">
        <v>1011</v>
      </c>
      <c r="H50" s="30" t="s">
        <v>1012</v>
      </c>
      <c r="I50" s="45" t="s">
        <v>107</v>
      </c>
      <c r="J50" s="53" t="s">
        <v>1013</v>
      </c>
      <c r="K50" s="50" t="str">
        <f>"00032329"</f>
        <v>00032329</v>
      </c>
      <c r="L50" s="17"/>
      <c r="M50" s="16"/>
      <c r="N50" s="18"/>
      <c r="O50" s="19"/>
      <c r="P50" s="20"/>
      <c r="Q50" s="21"/>
      <c r="R50" s="18"/>
      <c r="S50" s="17"/>
      <c r="T50" s="18"/>
      <c r="U50" s="18"/>
      <c r="V50" s="18"/>
      <c r="W50" s="17"/>
      <c r="X50" s="17"/>
      <c r="Y50" s="17"/>
      <c r="Z50" s="17"/>
      <c r="AA50" s="17"/>
      <c r="AB50" s="17"/>
      <c r="AC50" s="17"/>
      <c r="AD50" s="17"/>
      <c r="AE50" s="22"/>
      <c r="AF50" s="17"/>
      <c r="AG50" s="16"/>
      <c r="AH50" s="18"/>
      <c r="AI50" s="19"/>
      <c r="AJ50" s="20"/>
      <c r="AK50" s="21"/>
      <c r="AL50" s="18"/>
      <c r="AM50" s="17"/>
      <c r="AN50" s="18"/>
      <c r="AO50" s="18"/>
      <c r="AP50" s="18"/>
      <c r="AQ50" s="17"/>
      <c r="AR50" s="17"/>
      <c r="AS50" s="17"/>
      <c r="AT50" s="17"/>
      <c r="AU50" s="17"/>
      <c r="AV50" s="17"/>
      <c r="AW50" s="17"/>
      <c r="AX50" s="17"/>
      <c r="AY50" s="22"/>
      <c r="AZ50" s="17"/>
      <c r="BA50" s="16"/>
      <c r="BB50" s="18"/>
      <c r="BC50" s="19"/>
      <c r="BD50" s="20"/>
      <c r="BE50" s="21"/>
      <c r="BF50" s="18"/>
      <c r="BG50" s="17"/>
      <c r="BH50" s="18"/>
      <c r="BI50" s="18"/>
      <c r="BJ50" s="18"/>
      <c r="BK50" s="17"/>
      <c r="BL50" s="17"/>
      <c r="BM50" s="17"/>
      <c r="BN50" s="17"/>
      <c r="BO50" s="17"/>
      <c r="BP50" s="17"/>
      <c r="BQ50" s="17"/>
      <c r="BR50" s="17"/>
      <c r="BS50" s="22"/>
      <c r="BT50" s="17"/>
      <c r="BU50" s="16"/>
      <c r="BV50" s="18"/>
      <c r="BW50" s="19"/>
      <c r="BX50" s="20"/>
      <c r="BY50" s="21"/>
      <c r="BZ50" s="18"/>
      <c r="CA50" s="17"/>
      <c r="CB50" s="18"/>
      <c r="CC50" s="18"/>
      <c r="CD50" s="18"/>
      <c r="CE50" s="17"/>
      <c r="CF50" s="17"/>
      <c r="CG50" s="17"/>
      <c r="CH50" s="17"/>
      <c r="CI50" s="17"/>
      <c r="CJ50" s="17"/>
      <c r="CK50" s="17"/>
      <c r="CL50" s="17"/>
      <c r="CM50" s="22"/>
      <c r="CN50" s="17"/>
      <c r="CO50" s="16"/>
      <c r="CP50" s="18"/>
      <c r="CQ50" s="19"/>
      <c r="CR50" s="20"/>
      <c r="CS50" s="21"/>
      <c r="CT50" s="18"/>
      <c r="CU50" s="17"/>
      <c r="CV50" s="18"/>
      <c r="CW50" s="18"/>
      <c r="CX50" s="18"/>
      <c r="CY50" s="17"/>
      <c r="CZ50" s="17"/>
      <c r="DA50" s="17"/>
      <c r="DB50" s="17"/>
      <c r="DC50" s="17"/>
      <c r="DD50" s="17"/>
      <c r="DE50" s="17"/>
      <c r="DF50" s="17"/>
      <c r="DG50" s="22"/>
      <c r="DH50" s="17"/>
      <c r="DI50" s="16"/>
      <c r="DJ50" s="18"/>
      <c r="DK50" s="19"/>
      <c r="DL50" s="20"/>
      <c r="DM50" s="21"/>
      <c r="DN50" s="18"/>
      <c r="DO50" s="17"/>
      <c r="DP50" s="18"/>
      <c r="DQ50" s="18"/>
      <c r="DR50" s="18"/>
      <c r="DS50" s="17"/>
      <c r="DT50" s="17"/>
      <c r="DU50" s="17"/>
      <c r="DV50" s="17"/>
      <c r="DW50" s="17"/>
      <c r="DX50" s="17"/>
      <c r="DY50" s="17"/>
      <c r="DZ50" s="17"/>
      <c r="EA50" s="22"/>
      <c r="EB50" s="17"/>
      <c r="EC50" s="16"/>
      <c r="ED50" s="18"/>
      <c r="EE50" s="19"/>
      <c r="EF50" s="20"/>
      <c r="EG50" s="21"/>
      <c r="EH50" s="18"/>
      <c r="EI50" s="17"/>
      <c r="EJ50" s="18"/>
      <c r="EK50" s="18"/>
      <c r="EL50" s="18"/>
      <c r="EM50" s="17"/>
      <c r="EN50" s="17"/>
      <c r="EO50" s="17"/>
      <c r="EP50" s="17"/>
      <c r="EQ50" s="17"/>
      <c r="ER50" s="17"/>
      <c r="ES50" s="17"/>
      <c r="ET50" s="17"/>
      <c r="EU50" s="22"/>
      <c r="EV50" s="17"/>
      <c r="EW50" s="16"/>
      <c r="EX50" s="18"/>
      <c r="EY50" s="19"/>
      <c r="EZ50" s="20"/>
      <c r="FA50" s="21"/>
      <c r="FB50" s="18"/>
      <c r="FC50" s="17"/>
      <c r="FD50" s="18"/>
      <c r="FE50" s="18"/>
      <c r="FF50" s="18"/>
      <c r="FG50" s="17"/>
      <c r="FH50" s="17"/>
      <c r="FI50" s="17"/>
      <c r="FJ50" s="17"/>
      <c r="FK50" s="17"/>
      <c r="FL50" s="17"/>
      <c r="FM50" s="17"/>
      <c r="FN50" s="17"/>
      <c r="FO50" s="22"/>
      <c r="FP50" s="17"/>
      <c r="FQ50" s="16"/>
      <c r="FR50" s="18"/>
      <c r="FS50" s="19"/>
      <c r="FT50" s="20"/>
      <c r="FU50" s="21"/>
      <c r="FV50" s="18"/>
      <c r="FW50" s="17"/>
      <c r="FX50" s="18"/>
      <c r="FY50" s="18"/>
      <c r="FZ50" s="18"/>
      <c r="GA50" s="17"/>
      <c r="GB50" s="17"/>
      <c r="GC50" s="17"/>
      <c r="GD50" s="17"/>
      <c r="GE50" s="17"/>
      <c r="GF50" s="17"/>
      <c r="GG50" s="17"/>
      <c r="GH50" s="17"/>
      <c r="GI50" s="22"/>
      <c r="GJ50" s="17"/>
      <c r="GK50" s="16"/>
      <c r="GL50" s="18"/>
      <c r="GM50" s="19"/>
      <c r="GN50" s="20"/>
      <c r="GO50" s="21"/>
      <c r="GP50" s="18"/>
      <c r="GQ50" s="17"/>
      <c r="GR50" s="18"/>
      <c r="GS50" s="18"/>
      <c r="GT50" s="18"/>
      <c r="GU50" s="17"/>
      <c r="GV50" s="17"/>
      <c r="GW50" s="17"/>
      <c r="GX50" s="17"/>
      <c r="GY50" s="17"/>
      <c r="GZ50" s="17"/>
      <c r="HA50" s="17"/>
      <c r="HB50" s="17"/>
      <c r="HC50" s="22"/>
      <c r="HD50" s="17"/>
      <c r="HE50" s="16"/>
      <c r="HF50" s="18"/>
      <c r="HG50" s="19"/>
      <c r="HH50" s="20"/>
      <c r="HI50" s="21"/>
      <c r="HJ50" s="18"/>
      <c r="HK50" s="17"/>
      <c r="HL50" s="18"/>
      <c r="HM50" s="18"/>
      <c r="HN50" s="18"/>
      <c r="HO50" s="17"/>
      <c r="HP50" s="17"/>
      <c r="HQ50" s="17"/>
      <c r="HR50" s="17"/>
      <c r="HS50" s="17"/>
      <c r="HT50" s="17"/>
      <c r="HU50" s="17"/>
      <c r="HV50" s="17"/>
      <c r="HW50" s="22"/>
      <c r="HX50" s="17"/>
      <c r="HY50" s="16"/>
      <c r="HZ50" s="18"/>
      <c r="IA50" s="19"/>
      <c r="IB50" s="20"/>
      <c r="IC50" s="21"/>
      <c r="ID50" s="18"/>
      <c r="IE50" s="17"/>
      <c r="IF50" s="18"/>
      <c r="IG50" s="18"/>
      <c r="IH50" s="18"/>
      <c r="II50" s="17"/>
      <c r="IJ50" s="17"/>
      <c r="IK50" s="17"/>
      <c r="IL50" s="17"/>
      <c r="IM50" s="17"/>
    </row>
    <row r="51" spans="1:247" s="24" customFormat="1" ht="45" customHeight="1">
      <c r="A51" s="30">
        <v>105</v>
      </c>
      <c r="B51" s="45" t="s">
        <v>963</v>
      </c>
      <c r="C51" s="45" t="s">
        <v>38</v>
      </c>
      <c r="D51" s="46"/>
      <c r="E51" s="47">
        <v>70004</v>
      </c>
      <c r="F51" s="48">
        <v>4</v>
      </c>
      <c r="G51" s="45" t="s">
        <v>1004</v>
      </c>
      <c r="H51" s="30" t="s">
        <v>1005</v>
      </c>
      <c r="I51" s="45" t="s">
        <v>107</v>
      </c>
      <c r="J51" s="53" t="s">
        <v>1006</v>
      </c>
      <c r="K51" s="50" t="str">
        <f>"00031824"</f>
        <v>00031824</v>
      </c>
      <c r="L51" s="17"/>
      <c r="M51" s="16"/>
      <c r="N51" s="18"/>
      <c r="O51" s="19"/>
      <c r="P51" s="20"/>
      <c r="Q51" s="21"/>
      <c r="R51" s="18"/>
      <c r="S51" s="17"/>
      <c r="T51" s="18"/>
      <c r="U51" s="18"/>
      <c r="V51" s="18"/>
      <c r="W51" s="17"/>
      <c r="X51" s="17"/>
      <c r="Y51" s="17"/>
      <c r="Z51" s="17"/>
      <c r="AA51" s="17"/>
      <c r="AB51" s="17"/>
      <c r="AC51" s="17"/>
      <c r="AD51" s="17"/>
      <c r="AE51" s="22"/>
      <c r="AF51" s="17"/>
      <c r="AG51" s="16"/>
      <c r="AH51" s="18"/>
      <c r="AI51" s="19"/>
      <c r="AJ51" s="20"/>
      <c r="AK51" s="21"/>
      <c r="AL51" s="18"/>
      <c r="AM51" s="17"/>
      <c r="AN51" s="18"/>
      <c r="AO51" s="18"/>
      <c r="AP51" s="18"/>
      <c r="AQ51" s="17"/>
      <c r="AR51" s="17"/>
      <c r="AS51" s="17"/>
      <c r="AT51" s="17"/>
      <c r="AU51" s="17"/>
      <c r="AV51" s="17"/>
      <c r="AW51" s="17"/>
      <c r="AX51" s="17"/>
      <c r="AY51" s="22"/>
      <c r="AZ51" s="17"/>
      <c r="BA51" s="16"/>
      <c r="BB51" s="18"/>
      <c r="BC51" s="19"/>
      <c r="BD51" s="20"/>
      <c r="BE51" s="21"/>
      <c r="BF51" s="18"/>
      <c r="BG51" s="17"/>
      <c r="BH51" s="18"/>
      <c r="BI51" s="18"/>
      <c r="BJ51" s="18"/>
      <c r="BK51" s="17"/>
      <c r="BL51" s="17"/>
      <c r="BM51" s="17"/>
      <c r="BN51" s="17"/>
      <c r="BO51" s="17"/>
      <c r="BP51" s="17"/>
      <c r="BQ51" s="17"/>
      <c r="BR51" s="17"/>
      <c r="BS51" s="22"/>
      <c r="BT51" s="17"/>
      <c r="BU51" s="16"/>
      <c r="BV51" s="18"/>
      <c r="BW51" s="19"/>
      <c r="BX51" s="20"/>
      <c r="BY51" s="21"/>
      <c r="BZ51" s="18"/>
      <c r="CA51" s="17"/>
      <c r="CB51" s="18"/>
      <c r="CC51" s="18"/>
      <c r="CD51" s="18"/>
      <c r="CE51" s="17"/>
      <c r="CF51" s="17"/>
      <c r="CG51" s="17"/>
      <c r="CH51" s="17"/>
      <c r="CI51" s="17"/>
      <c r="CJ51" s="17"/>
      <c r="CK51" s="17"/>
      <c r="CL51" s="17"/>
      <c r="CM51" s="22"/>
      <c r="CN51" s="17"/>
      <c r="CO51" s="16"/>
      <c r="CP51" s="18"/>
      <c r="CQ51" s="19"/>
      <c r="CR51" s="20"/>
      <c r="CS51" s="21"/>
      <c r="CT51" s="18"/>
      <c r="CU51" s="17"/>
      <c r="CV51" s="18"/>
      <c r="CW51" s="18"/>
      <c r="CX51" s="18"/>
      <c r="CY51" s="17"/>
      <c r="CZ51" s="17"/>
      <c r="DA51" s="17"/>
      <c r="DB51" s="17"/>
      <c r="DC51" s="17"/>
      <c r="DD51" s="17"/>
      <c r="DE51" s="17"/>
      <c r="DF51" s="17"/>
      <c r="DG51" s="22"/>
      <c r="DH51" s="17"/>
      <c r="DI51" s="16"/>
      <c r="DJ51" s="18"/>
      <c r="DK51" s="19"/>
      <c r="DL51" s="20"/>
      <c r="DM51" s="21"/>
      <c r="DN51" s="18"/>
      <c r="DO51" s="17"/>
      <c r="DP51" s="18"/>
      <c r="DQ51" s="18"/>
      <c r="DR51" s="18"/>
      <c r="DS51" s="17"/>
      <c r="DT51" s="17"/>
      <c r="DU51" s="17"/>
      <c r="DV51" s="17"/>
      <c r="DW51" s="17"/>
      <c r="DX51" s="17"/>
      <c r="DY51" s="17"/>
      <c r="DZ51" s="17"/>
      <c r="EA51" s="22"/>
      <c r="EB51" s="17"/>
      <c r="EC51" s="16"/>
      <c r="ED51" s="18"/>
      <c r="EE51" s="19"/>
      <c r="EF51" s="20"/>
      <c r="EG51" s="21"/>
      <c r="EH51" s="18"/>
      <c r="EI51" s="17"/>
      <c r="EJ51" s="18"/>
      <c r="EK51" s="18"/>
      <c r="EL51" s="18"/>
      <c r="EM51" s="17"/>
      <c r="EN51" s="17"/>
      <c r="EO51" s="17"/>
      <c r="EP51" s="17"/>
      <c r="EQ51" s="17"/>
      <c r="ER51" s="17"/>
      <c r="ES51" s="17"/>
      <c r="ET51" s="17"/>
      <c r="EU51" s="22"/>
      <c r="EV51" s="17"/>
      <c r="EW51" s="16"/>
      <c r="EX51" s="18"/>
      <c r="EY51" s="19"/>
      <c r="EZ51" s="20"/>
      <c r="FA51" s="21"/>
      <c r="FB51" s="18"/>
      <c r="FC51" s="17"/>
      <c r="FD51" s="18"/>
      <c r="FE51" s="18"/>
      <c r="FF51" s="18"/>
      <c r="FG51" s="17"/>
      <c r="FH51" s="17"/>
      <c r="FI51" s="17"/>
      <c r="FJ51" s="17"/>
      <c r="FK51" s="17"/>
      <c r="FL51" s="17"/>
      <c r="FM51" s="17"/>
      <c r="FN51" s="17"/>
      <c r="FO51" s="22"/>
      <c r="FP51" s="17"/>
      <c r="FQ51" s="16"/>
      <c r="FR51" s="18"/>
      <c r="FS51" s="19"/>
      <c r="FT51" s="20"/>
      <c r="FU51" s="21"/>
      <c r="FV51" s="18"/>
      <c r="FW51" s="17"/>
      <c r="FX51" s="18"/>
      <c r="FY51" s="18"/>
      <c r="FZ51" s="18"/>
      <c r="GA51" s="17"/>
      <c r="GB51" s="17"/>
      <c r="GC51" s="17"/>
      <c r="GD51" s="17"/>
      <c r="GE51" s="17"/>
      <c r="GF51" s="17"/>
      <c r="GG51" s="17"/>
      <c r="GH51" s="17"/>
      <c r="GI51" s="22"/>
      <c r="GJ51" s="17"/>
      <c r="GK51" s="16"/>
      <c r="GL51" s="18"/>
      <c r="GM51" s="19"/>
      <c r="GN51" s="20"/>
      <c r="GO51" s="21"/>
      <c r="GP51" s="18"/>
      <c r="GQ51" s="17"/>
      <c r="GR51" s="18"/>
      <c r="GS51" s="18"/>
      <c r="GT51" s="18"/>
      <c r="GU51" s="17"/>
      <c r="GV51" s="17"/>
      <c r="GW51" s="17"/>
      <c r="GX51" s="17"/>
      <c r="GY51" s="17"/>
      <c r="GZ51" s="17"/>
      <c r="HA51" s="17"/>
      <c r="HB51" s="17"/>
      <c r="HC51" s="22"/>
      <c r="HD51" s="17"/>
      <c r="HE51" s="16"/>
      <c r="HF51" s="18"/>
      <c r="HG51" s="19"/>
      <c r="HH51" s="20"/>
      <c r="HI51" s="21"/>
      <c r="HJ51" s="18"/>
      <c r="HK51" s="17"/>
      <c r="HL51" s="18"/>
      <c r="HM51" s="18"/>
      <c r="HN51" s="18"/>
      <c r="HO51" s="17"/>
      <c r="HP51" s="17"/>
      <c r="HQ51" s="17"/>
      <c r="HR51" s="17"/>
      <c r="HS51" s="17"/>
      <c r="HT51" s="17"/>
      <c r="HU51" s="17"/>
      <c r="HV51" s="17"/>
      <c r="HW51" s="22"/>
      <c r="HX51" s="17"/>
      <c r="HY51" s="16"/>
      <c r="HZ51" s="18"/>
      <c r="IA51" s="19"/>
      <c r="IB51" s="20"/>
      <c r="IC51" s="21"/>
      <c r="ID51" s="18"/>
      <c r="IE51" s="17"/>
      <c r="IF51" s="18"/>
      <c r="IG51" s="18"/>
      <c r="IH51" s="18"/>
      <c r="II51" s="17"/>
      <c r="IJ51" s="17"/>
      <c r="IK51" s="17"/>
      <c r="IL51" s="17"/>
      <c r="IM51" s="17"/>
    </row>
    <row r="52" spans="1:247" s="24" customFormat="1" ht="45" customHeight="1">
      <c r="A52" s="30">
        <v>105</v>
      </c>
      <c r="B52" s="49" t="s">
        <v>977</v>
      </c>
      <c r="C52" s="45" t="s">
        <v>38</v>
      </c>
      <c r="D52" s="46"/>
      <c r="E52" s="47">
        <v>27113</v>
      </c>
      <c r="F52" s="48">
        <v>4</v>
      </c>
      <c r="G52" s="45" t="s">
        <v>5537</v>
      </c>
      <c r="H52" s="30" t="s">
        <v>1000</v>
      </c>
      <c r="I52" s="45" t="s">
        <v>92</v>
      </c>
      <c r="J52" s="45" t="s">
        <v>979</v>
      </c>
      <c r="K52" s="61" t="s">
        <v>5939</v>
      </c>
      <c r="L52" s="17"/>
      <c r="M52" s="16"/>
      <c r="N52" s="18"/>
      <c r="O52" s="19"/>
      <c r="P52" s="20"/>
      <c r="Q52" s="21"/>
      <c r="R52" s="18"/>
      <c r="S52" s="17"/>
      <c r="T52" s="18"/>
      <c r="U52" s="18"/>
      <c r="V52" s="18"/>
      <c r="W52" s="17"/>
      <c r="X52" s="17"/>
      <c r="Y52" s="17"/>
      <c r="Z52" s="17"/>
      <c r="AA52" s="17"/>
      <c r="AB52" s="17"/>
      <c r="AC52" s="17"/>
      <c r="AD52" s="17"/>
      <c r="AE52" s="22"/>
      <c r="AF52" s="17"/>
      <c r="AG52" s="16"/>
      <c r="AH52" s="18"/>
      <c r="AI52" s="19"/>
      <c r="AJ52" s="20"/>
      <c r="AK52" s="21"/>
      <c r="AL52" s="18"/>
      <c r="AM52" s="17"/>
      <c r="AN52" s="18"/>
      <c r="AO52" s="18"/>
      <c r="AP52" s="18"/>
      <c r="AQ52" s="17"/>
      <c r="AR52" s="17"/>
      <c r="AS52" s="17"/>
      <c r="AT52" s="17"/>
      <c r="AU52" s="17"/>
      <c r="AV52" s="17"/>
      <c r="AW52" s="17"/>
      <c r="AX52" s="17"/>
      <c r="AY52" s="22"/>
      <c r="AZ52" s="17"/>
      <c r="BA52" s="16"/>
      <c r="BB52" s="18"/>
      <c r="BC52" s="19"/>
      <c r="BD52" s="20"/>
      <c r="BE52" s="21"/>
      <c r="BF52" s="18"/>
      <c r="BG52" s="17"/>
      <c r="BH52" s="18"/>
      <c r="BI52" s="18"/>
      <c r="BJ52" s="18"/>
      <c r="BK52" s="17"/>
      <c r="BL52" s="17"/>
      <c r="BM52" s="17"/>
      <c r="BN52" s="17"/>
      <c r="BO52" s="17"/>
      <c r="BP52" s="17"/>
      <c r="BQ52" s="17"/>
      <c r="BR52" s="17"/>
      <c r="BS52" s="22"/>
      <c r="BT52" s="17"/>
      <c r="BU52" s="16"/>
      <c r="BV52" s="18"/>
      <c r="BW52" s="19"/>
      <c r="BX52" s="20"/>
      <c r="BY52" s="21"/>
      <c r="BZ52" s="18"/>
      <c r="CA52" s="17"/>
      <c r="CB52" s="18"/>
      <c r="CC52" s="18"/>
      <c r="CD52" s="18"/>
      <c r="CE52" s="17"/>
      <c r="CF52" s="17"/>
      <c r="CG52" s="17"/>
      <c r="CH52" s="17"/>
      <c r="CI52" s="17"/>
      <c r="CJ52" s="17"/>
      <c r="CK52" s="17"/>
      <c r="CL52" s="17"/>
      <c r="CM52" s="22"/>
      <c r="CN52" s="17"/>
      <c r="CO52" s="16"/>
      <c r="CP52" s="18"/>
      <c r="CQ52" s="19"/>
      <c r="CR52" s="20"/>
      <c r="CS52" s="21"/>
      <c r="CT52" s="18"/>
      <c r="CU52" s="17"/>
      <c r="CV52" s="18"/>
      <c r="CW52" s="18"/>
      <c r="CX52" s="18"/>
      <c r="CY52" s="17"/>
      <c r="CZ52" s="17"/>
      <c r="DA52" s="17"/>
      <c r="DB52" s="17"/>
      <c r="DC52" s="17"/>
      <c r="DD52" s="17"/>
      <c r="DE52" s="17"/>
      <c r="DF52" s="17"/>
      <c r="DG52" s="22"/>
      <c r="DH52" s="17"/>
      <c r="DI52" s="16"/>
      <c r="DJ52" s="18"/>
      <c r="DK52" s="19"/>
      <c r="DL52" s="20"/>
      <c r="DM52" s="21"/>
      <c r="DN52" s="18"/>
      <c r="DO52" s="17"/>
      <c r="DP52" s="18"/>
      <c r="DQ52" s="18"/>
      <c r="DR52" s="18"/>
      <c r="DS52" s="17"/>
      <c r="DT52" s="17"/>
      <c r="DU52" s="17"/>
      <c r="DV52" s="17"/>
      <c r="DW52" s="17"/>
      <c r="DX52" s="17"/>
      <c r="DY52" s="17"/>
      <c r="DZ52" s="17"/>
      <c r="EA52" s="22"/>
      <c r="EB52" s="17"/>
      <c r="EC52" s="16"/>
      <c r="ED52" s="18"/>
      <c r="EE52" s="19"/>
      <c r="EF52" s="20"/>
      <c r="EG52" s="21"/>
      <c r="EH52" s="18"/>
      <c r="EI52" s="17"/>
      <c r="EJ52" s="18"/>
      <c r="EK52" s="18"/>
      <c r="EL52" s="18"/>
      <c r="EM52" s="17"/>
      <c r="EN52" s="17"/>
      <c r="EO52" s="17"/>
      <c r="EP52" s="17"/>
      <c r="EQ52" s="17"/>
      <c r="ER52" s="17"/>
      <c r="ES52" s="17"/>
      <c r="ET52" s="17"/>
      <c r="EU52" s="22"/>
      <c r="EV52" s="17"/>
      <c r="EW52" s="16"/>
      <c r="EX52" s="18"/>
      <c r="EY52" s="19"/>
      <c r="EZ52" s="20"/>
      <c r="FA52" s="21"/>
      <c r="FB52" s="18"/>
      <c r="FC52" s="17"/>
      <c r="FD52" s="18"/>
      <c r="FE52" s="18"/>
      <c r="FF52" s="18"/>
      <c r="FG52" s="17"/>
      <c r="FH52" s="17"/>
      <c r="FI52" s="17"/>
      <c r="FJ52" s="17"/>
      <c r="FK52" s="17"/>
      <c r="FL52" s="17"/>
      <c r="FM52" s="17"/>
      <c r="FN52" s="17"/>
      <c r="FO52" s="22"/>
      <c r="FP52" s="17"/>
      <c r="FQ52" s="16"/>
      <c r="FR52" s="18"/>
      <c r="FS52" s="19"/>
      <c r="FT52" s="20"/>
      <c r="FU52" s="21"/>
      <c r="FV52" s="18"/>
      <c r="FW52" s="17"/>
      <c r="FX52" s="18"/>
      <c r="FY52" s="18"/>
      <c r="FZ52" s="18"/>
      <c r="GA52" s="17"/>
      <c r="GB52" s="17"/>
      <c r="GC52" s="17"/>
      <c r="GD52" s="17"/>
      <c r="GE52" s="17"/>
      <c r="GF52" s="17"/>
      <c r="GG52" s="17"/>
      <c r="GH52" s="17"/>
      <c r="GI52" s="22"/>
      <c r="GJ52" s="17"/>
      <c r="GK52" s="16"/>
      <c r="GL52" s="18"/>
      <c r="GM52" s="19"/>
      <c r="GN52" s="20"/>
      <c r="GO52" s="21"/>
      <c r="GP52" s="18"/>
      <c r="GQ52" s="17"/>
      <c r="GR52" s="18"/>
      <c r="GS52" s="18"/>
      <c r="GT52" s="18"/>
      <c r="GU52" s="17"/>
      <c r="GV52" s="17"/>
      <c r="GW52" s="17"/>
      <c r="GX52" s="17"/>
      <c r="GY52" s="17"/>
      <c r="GZ52" s="17"/>
      <c r="HA52" s="17"/>
      <c r="HB52" s="17"/>
      <c r="HC52" s="22"/>
      <c r="HD52" s="17"/>
      <c r="HE52" s="16"/>
      <c r="HF52" s="18"/>
      <c r="HG52" s="19"/>
      <c r="HH52" s="20"/>
      <c r="HI52" s="21"/>
      <c r="HJ52" s="18"/>
      <c r="HK52" s="17"/>
      <c r="HL52" s="18"/>
      <c r="HM52" s="18"/>
      <c r="HN52" s="18"/>
      <c r="HO52" s="17"/>
      <c r="HP52" s="17"/>
      <c r="HQ52" s="17"/>
      <c r="HR52" s="17"/>
      <c r="HS52" s="17"/>
      <c r="HT52" s="17"/>
      <c r="HU52" s="17"/>
      <c r="HV52" s="17"/>
      <c r="HW52" s="22"/>
      <c r="HX52" s="17"/>
      <c r="HY52" s="16"/>
      <c r="HZ52" s="18"/>
      <c r="IA52" s="19"/>
      <c r="IB52" s="20"/>
      <c r="IC52" s="21"/>
      <c r="ID52" s="18"/>
      <c r="IE52" s="17"/>
      <c r="IF52" s="18"/>
      <c r="IG52" s="18"/>
      <c r="IH52" s="18"/>
      <c r="II52" s="17"/>
      <c r="IJ52" s="17"/>
      <c r="IK52" s="17"/>
      <c r="IL52" s="17"/>
      <c r="IM52" s="17"/>
    </row>
    <row r="53" spans="1:247" s="24" customFormat="1" ht="45" customHeight="1">
      <c r="A53" s="30">
        <v>105</v>
      </c>
      <c r="B53" s="45" t="s">
        <v>235</v>
      </c>
      <c r="C53" s="45" t="s">
        <v>38</v>
      </c>
      <c r="D53" s="46"/>
      <c r="E53" s="47">
        <v>19596</v>
      </c>
      <c r="F53" s="48">
        <v>4</v>
      </c>
      <c r="G53" s="49" t="s">
        <v>1010</v>
      </c>
      <c r="H53" s="30" t="s">
        <v>1005</v>
      </c>
      <c r="I53" s="45" t="s">
        <v>107</v>
      </c>
      <c r="J53" s="53" t="s">
        <v>1006</v>
      </c>
      <c r="K53" s="50" t="str">
        <f>"00031824"</f>
        <v>00031824</v>
      </c>
      <c r="L53" s="17"/>
      <c r="M53" s="16"/>
      <c r="N53" s="18"/>
      <c r="O53" s="19"/>
      <c r="P53" s="20"/>
      <c r="Q53" s="21"/>
      <c r="R53" s="18"/>
      <c r="S53" s="17"/>
      <c r="T53" s="18"/>
      <c r="U53" s="18"/>
      <c r="V53" s="18"/>
      <c r="W53" s="17"/>
      <c r="X53" s="17"/>
      <c r="Y53" s="17"/>
      <c r="Z53" s="17"/>
      <c r="AA53" s="17"/>
      <c r="AB53" s="17"/>
      <c r="AC53" s="17"/>
      <c r="AD53" s="17"/>
      <c r="AE53" s="22"/>
      <c r="AF53" s="17"/>
      <c r="AG53" s="16"/>
      <c r="AH53" s="18"/>
      <c r="AI53" s="19"/>
      <c r="AJ53" s="20"/>
      <c r="AK53" s="21"/>
      <c r="AL53" s="18"/>
      <c r="AM53" s="17"/>
      <c r="AN53" s="18"/>
      <c r="AO53" s="18"/>
      <c r="AP53" s="18"/>
      <c r="AQ53" s="17"/>
      <c r="AR53" s="17"/>
      <c r="AS53" s="17"/>
      <c r="AT53" s="17"/>
      <c r="AU53" s="17"/>
      <c r="AV53" s="17"/>
      <c r="AW53" s="17"/>
      <c r="AX53" s="17"/>
      <c r="AY53" s="22"/>
      <c r="AZ53" s="17"/>
      <c r="BA53" s="16"/>
      <c r="BB53" s="18"/>
      <c r="BC53" s="19"/>
      <c r="BD53" s="20"/>
      <c r="BE53" s="21"/>
      <c r="BF53" s="18"/>
      <c r="BG53" s="17"/>
      <c r="BH53" s="18"/>
      <c r="BI53" s="18"/>
      <c r="BJ53" s="18"/>
      <c r="BK53" s="17"/>
      <c r="BL53" s="17"/>
      <c r="BM53" s="17"/>
      <c r="BN53" s="17"/>
      <c r="BO53" s="17"/>
      <c r="BP53" s="17"/>
      <c r="BQ53" s="17"/>
      <c r="BR53" s="17"/>
      <c r="BS53" s="22"/>
      <c r="BT53" s="17"/>
      <c r="BU53" s="16"/>
      <c r="BV53" s="18"/>
      <c r="BW53" s="19"/>
      <c r="BX53" s="20"/>
      <c r="BY53" s="21"/>
      <c r="BZ53" s="18"/>
      <c r="CA53" s="17"/>
      <c r="CB53" s="18"/>
      <c r="CC53" s="18"/>
      <c r="CD53" s="18"/>
      <c r="CE53" s="17"/>
      <c r="CF53" s="17"/>
      <c r="CG53" s="17"/>
      <c r="CH53" s="17"/>
      <c r="CI53" s="17"/>
      <c r="CJ53" s="17"/>
      <c r="CK53" s="17"/>
      <c r="CL53" s="17"/>
      <c r="CM53" s="22"/>
      <c r="CN53" s="17"/>
      <c r="CO53" s="16"/>
      <c r="CP53" s="18"/>
      <c r="CQ53" s="19"/>
      <c r="CR53" s="20"/>
      <c r="CS53" s="21"/>
      <c r="CT53" s="18"/>
      <c r="CU53" s="17"/>
      <c r="CV53" s="18"/>
      <c r="CW53" s="18"/>
      <c r="CX53" s="18"/>
      <c r="CY53" s="17"/>
      <c r="CZ53" s="17"/>
      <c r="DA53" s="17"/>
      <c r="DB53" s="17"/>
      <c r="DC53" s="17"/>
      <c r="DD53" s="17"/>
      <c r="DE53" s="17"/>
      <c r="DF53" s="17"/>
      <c r="DG53" s="22"/>
      <c r="DH53" s="17"/>
      <c r="DI53" s="16"/>
      <c r="DJ53" s="18"/>
      <c r="DK53" s="19"/>
      <c r="DL53" s="20"/>
      <c r="DM53" s="21"/>
      <c r="DN53" s="18"/>
      <c r="DO53" s="17"/>
      <c r="DP53" s="18"/>
      <c r="DQ53" s="18"/>
      <c r="DR53" s="18"/>
      <c r="DS53" s="17"/>
      <c r="DT53" s="17"/>
      <c r="DU53" s="17"/>
      <c r="DV53" s="17"/>
      <c r="DW53" s="17"/>
      <c r="DX53" s="17"/>
      <c r="DY53" s="17"/>
      <c r="DZ53" s="17"/>
      <c r="EA53" s="22"/>
      <c r="EB53" s="17"/>
      <c r="EC53" s="16"/>
      <c r="ED53" s="18"/>
      <c r="EE53" s="19"/>
      <c r="EF53" s="20"/>
      <c r="EG53" s="21"/>
      <c r="EH53" s="18"/>
      <c r="EI53" s="17"/>
      <c r="EJ53" s="18"/>
      <c r="EK53" s="18"/>
      <c r="EL53" s="18"/>
      <c r="EM53" s="17"/>
      <c r="EN53" s="17"/>
      <c r="EO53" s="17"/>
      <c r="EP53" s="17"/>
      <c r="EQ53" s="17"/>
      <c r="ER53" s="17"/>
      <c r="ES53" s="17"/>
      <c r="ET53" s="17"/>
      <c r="EU53" s="22"/>
      <c r="EV53" s="17"/>
      <c r="EW53" s="16"/>
      <c r="EX53" s="18"/>
      <c r="EY53" s="19"/>
      <c r="EZ53" s="20"/>
      <c r="FA53" s="21"/>
      <c r="FB53" s="18"/>
      <c r="FC53" s="17"/>
      <c r="FD53" s="18"/>
      <c r="FE53" s="18"/>
      <c r="FF53" s="18"/>
      <c r="FG53" s="17"/>
      <c r="FH53" s="17"/>
      <c r="FI53" s="17"/>
      <c r="FJ53" s="17"/>
      <c r="FK53" s="17"/>
      <c r="FL53" s="17"/>
      <c r="FM53" s="17"/>
      <c r="FN53" s="17"/>
      <c r="FO53" s="22"/>
      <c r="FP53" s="17"/>
      <c r="FQ53" s="16"/>
      <c r="FR53" s="18"/>
      <c r="FS53" s="19"/>
      <c r="FT53" s="20"/>
      <c r="FU53" s="21"/>
      <c r="FV53" s="18"/>
      <c r="FW53" s="17"/>
      <c r="FX53" s="18"/>
      <c r="FY53" s="18"/>
      <c r="FZ53" s="18"/>
      <c r="GA53" s="17"/>
      <c r="GB53" s="17"/>
      <c r="GC53" s="17"/>
      <c r="GD53" s="17"/>
      <c r="GE53" s="17"/>
      <c r="GF53" s="17"/>
      <c r="GG53" s="17"/>
      <c r="GH53" s="17"/>
      <c r="GI53" s="22"/>
      <c r="GJ53" s="17"/>
      <c r="GK53" s="16"/>
      <c r="GL53" s="18"/>
      <c r="GM53" s="19"/>
      <c r="GN53" s="20"/>
      <c r="GO53" s="21"/>
      <c r="GP53" s="18"/>
      <c r="GQ53" s="17"/>
      <c r="GR53" s="18"/>
      <c r="GS53" s="18"/>
      <c r="GT53" s="18"/>
      <c r="GU53" s="17"/>
      <c r="GV53" s="17"/>
      <c r="GW53" s="17"/>
      <c r="GX53" s="17"/>
      <c r="GY53" s="17"/>
      <c r="GZ53" s="17"/>
      <c r="HA53" s="17"/>
      <c r="HB53" s="17"/>
      <c r="HC53" s="22"/>
      <c r="HD53" s="17"/>
      <c r="HE53" s="16"/>
      <c r="HF53" s="18"/>
      <c r="HG53" s="19"/>
      <c r="HH53" s="20"/>
      <c r="HI53" s="21"/>
      <c r="HJ53" s="18"/>
      <c r="HK53" s="17"/>
      <c r="HL53" s="18"/>
      <c r="HM53" s="18"/>
      <c r="HN53" s="18"/>
      <c r="HO53" s="17"/>
      <c r="HP53" s="17"/>
      <c r="HQ53" s="17"/>
      <c r="HR53" s="17"/>
      <c r="HS53" s="17"/>
      <c r="HT53" s="17"/>
      <c r="HU53" s="17"/>
      <c r="HV53" s="17"/>
      <c r="HW53" s="22"/>
      <c r="HX53" s="17"/>
      <c r="HY53" s="16"/>
      <c r="HZ53" s="18"/>
      <c r="IA53" s="19"/>
      <c r="IB53" s="20"/>
      <c r="IC53" s="21"/>
      <c r="ID53" s="18"/>
      <c r="IE53" s="17"/>
      <c r="IF53" s="18"/>
      <c r="IG53" s="18"/>
      <c r="IH53" s="18"/>
      <c r="II53" s="17"/>
      <c r="IJ53" s="17"/>
      <c r="IK53" s="17"/>
      <c r="IL53" s="17"/>
      <c r="IM53" s="17"/>
    </row>
    <row r="54" spans="1:247" s="24" customFormat="1" ht="45" customHeight="1">
      <c r="A54" s="30">
        <v>105</v>
      </c>
      <c r="B54" s="45" t="s">
        <v>967</v>
      </c>
      <c r="C54" s="45" t="s">
        <v>38</v>
      </c>
      <c r="D54" s="46"/>
      <c r="E54" s="47">
        <v>60000</v>
      </c>
      <c r="F54" s="48">
        <v>4</v>
      </c>
      <c r="G54" s="45" t="s">
        <v>5538</v>
      </c>
      <c r="H54" s="30" t="s">
        <v>968</v>
      </c>
      <c r="I54" s="45" t="s">
        <v>107</v>
      </c>
      <c r="J54" s="45" t="s">
        <v>969</v>
      </c>
      <c r="K54" s="61" t="s">
        <v>5940</v>
      </c>
      <c r="L54" s="17"/>
      <c r="M54" s="16"/>
      <c r="N54" s="18"/>
      <c r="O54" s="19"/>
      <c r="P54" s="20"/>
      <c r="Q54" s="21"/>
      <c r="R54" s="18"/>
      <c r="S54" s="17"/>
      <c r="T54" s="18"/>
      <c r="U54" s="18"/>
      <c r="V54" s="18"/>
      <c r="W54" s="17"/>
      <c r="X54" s="17"/>
      <c r="Y54" s="17"/>
      <c r="Z54" s="17"/>
      <c r="AA54" s="17"/>
      <c r="AB54" s="17"/>
      <c r="AC54" s="17"/>
      <c r="AD54" s="17"/>
      <c r="AE54" s="22"/>
      <c r="AF54" s="17"/>
      <c r="AG54" s="16"/>
      <c r="AH54" s="18"/>
      <c r="AI54" s="19"/>
      <c r="AJ54" s="20"/>
      <c r="AK54" s="21"/>
      <c r="AL54" s="18"/>
      <c r="AM54" s="17"/>
      <c r="AN54" s="18"/>
      <c r="AO54" s="18"/>
      <c r="AP54" s="18"/>
      <c r="AQ54" s="17"/>
      <c r="AR54" s="17"/>
      <c r="AS54" s="17"/>
      <c r="AT54" s="17"/>
      <c r="AU54" s="17"/>
      <c r="AV54" s="17"/>
      <c r="AW54" s="17"/>
      <c r="AX54" s="17"/>
      <c r="AY54" s="22"/>
      <c r="AZ54" s="17"/>
      <c r="BA54" s="16"/>
      <c r="BB54" s="18"/>
      <c r="BC54" s="19"/>
      <c r="BD54" s="20"/>
      <c r="BE54" s="21"/>
      <c r="BF54" s="18"/>
      <c r="BG54" s="17"/>
      <c r="BH54" s="18"/>
      <c r="BI54" s="18"/>
      <c r="BJ54" s="18"/>
      <c r="BK54" s="17"/>
      <c r="BL54" s="17"/>
      <c r="BM54" s="17"/>
      <c r="BN54" s="17"/>
      <c r="BO54" s="17"/>
      <c r="BP54" s="17"/>
      <c r="BQ54" s="17"/>
      <c r="BR54" s="17"/>
      <c r="BS54" s="22"/>
      <c r="BT54" s="17"/>
      <c r="BU54" s="16"/>
      <c r="BV54" s="18"/>
      <c r="BW54" s="19"/>
      <c r="BX54" s="20"/>
      <c r="BY54" s="21"/>
      <c r="BZ54" s="18"/>
      <c r="CA54" s="17"/>
      <c r="CB54" s="18"/>
      <c r="CC54" s="18"/>
      <c r="CD54" s="18"/>
      <c r="CE54" s="17"/>
      <c r="CF54" s="17"/>
      <c r="CG54" s="17"/>
      <c r="CH54" s="17"/>
      <c r="CI54" s="17"/>
      <c r="CJ54" s="17"/>
      <c r="CK54" s="17"/>
      <c r="CL54" s="17"/>
      <c r="CM54" s="22"/>
      <c r="CN54" s="17"/>
      <c r="CO54" s="16"/>
      <c r="CP54" s="18"/>
      <c r="CQ54" s="19"/>
      <c r="CR54" s="20"/>
      <c r="CS54" s="21"/>
      <c r="CT54" s="18"/>
      <c r="CU54" s="17"/>
      <c r="CV54" s="18"/>
      <c r="CW54" s="18"/>
      <c r="CX54" s="18"/>
      <c r="CY54" s="17"/>
      <c r="CZ54" s="17"/>
      <c r="DA54" s="17"/>
      <c r="DB54" s="17"/>
      <c r="DC54" s="17"/>
      <c r="DD54" s="17"/>
      <c r="DE54" s="17"/>
      <c r="DF54" s="17"/>
      <c r="DG54" s="22"/>
      <c r="DH54" s="17"/>
      <c r="DI54" s="16"/>
      <c r="DJ54" s="18"/>
      <c r="DK54" s="19"/>
      <c r="DL54" s="20"/>
      <c r="DM54" s="21"/>
      <c r="DN54" s="18"/>
      <c r="DO54" s="17"/>
      <c r="DP54" s="18"/>
      <c r="DQ54" s="18"/>
      <c r="DR54" s="18"/>
      <c r="DS54" s="17"/>
      <c r="DT54" s="17"/>
      <c r="DU54" s="17"/>
      <c r="DV54" s="17"/>
      <c r="DW54" s="17"/>
      <c r="DX54" s="17"/>
      <c r="DY54" s="17"/>
      <c r="DZ54" s="17"/>
      <c r="EA54" s="22"/>
      <c r="EB54" s="17"/>
      <c r="EC54" s="16"/>
      <c r="ED54" s="18"/>
      <c r="EE54" s="19"/>
      <c r="EF54" s="20"/>
      <c r="EG54" s="21"/>
      <c r="EH54" s="18"/>
      <c r="EI54" s="17"/>
      <c r="EJ54" s="18"/>
      <c r="EK54" s="18"/>
      <c r="EL54" s="18"/>
      <c r="EM54" s="17"/>
      <c r="EN54" s="17"/>
      <c r="EO54" s="17"/>
      <c r="EP54" s="17"/>
      <c r="EQ54" s="17"/>
      <c r="ER54" s="17"/>
      <c r="ES54" s="17"/>
      <c r="ET54" s="17"/>
      <c r="EU54" s="22"/>
      <c r="EV54" s="17"/>
      <c r="EW54" s="16"/>
      <c r="EX54" s="18"/>
      <c r="EY54" s="19"/>
      <c r="EZ54" s="20"/>
      <c r="FA54" s="21"/>
      <c r="FB54" s="18"/>
      <c r="FC54" s="17"/>
      <c r="FD54" s="18"/>
      <c r="FE54" s="18"/>
      <c r="FF54" s="18"/>
      <c r="FG54" s="17"/>
      <c r="FH54" s="17"/>
      <c r="FI54" s="17"/>
      <c r="FJ54" s="17"/>
      <c r="FK54" s="17"/>
      <c r="FL54" s="17"/>
      <c r="FM54" s="17"/>
      <c r="FN54" s="17"/>
      <c r="FO54" s="22"/>
      <c r="FP54" s="17"/>
      <c r="FQ54" s="16"/>
      <c r="FR54" s="18"/>
      <c r="FS54" s="19"/>
      <c r="FT54" s="20"/>
      <c r="FU54" s="21"/>
      <c r="FV54" s="18"/>
      <c r="FW54" s="17"/>
      <c r="FX54" s="18"/>
      <c r="FY54" s="18"/>
      <c r="FZ54" s="18"/>
      <c r="GA54" s="17"/>
      <c r="GB54" s="17"/>
      <c r="GC54" s="17"/>
      <c r="GD54" s="17"/>
      <c r="GE54" s="17"/>
      <c r="GF54" s="17"/>
      <c r="GG54" s="17"/>
      <c r="GH54" s="17"/>
      <c r="GI54" s="22"/>
      <c r="GJ54" s="17"/>
      <c r="GK54" s="16"/>
      <c r="GL54" s="18"/>
      <c r="GM54" s="19"/>
      <c r="GN54" s="20"/>
      <c r="GO54" s="21"/>
      <c r="GP54" s="18"/>
      <c r="GQ54" s="17"/>
      <c r="GR54" s="18"/>
      <c r="GS54" s="18"/>
      <c r="GT54" s="18"/>
      <c r="GU54" s="17"/>
      <c r="GV54" s="17"/>
      <c r="GW54" s="17"/>
      <c r="GX54" s="17"/>
      <c r="GY54" s="17"/>
      <c r="GZ54" s="17"/>
      <c r="HA54" s="17"/>
      <c r="HB54" s="17"/>
      <c r="HC54" s="22"/>
      <c r="HD54" s="17"/>
      <c r="HE54" s="16"/>
      <c r="HF54" s="18"/>
      <c r="HG54" s="19"/>
      <c r="HH54" s="20"/>
      <c r="HI54" s="21"/>
      <c r="HJ54" s="18"/>
      <c r="HK54" s="17"/>
      <c r="HL54" s="18"/>
      <c r="HM54" s="18"/>
      <c r="HN54" s="18"/>
      <c r="HO54" s="17"/>
      <c r="HP54" s="17"/>
      <c r="HQ54" s="17"/>
      <c r="HR54" s="17"/>
      <c r="HS54" s="17"/>
      <c r="HT54" s="17"/>
      <c r="HU54" s="17"/>
      <c r="HV54" s="17"/>
      <c r="HW54" s="22"/>
      <c r="HX54" s="17"/>
      <c r="HY54" s="16"/>
      <c r="HZ54" s="18"/>
      <c r="IA54" s="19"/>
      <c r="IB54" s="20"/>
      <c r="IC54" s="21"/>
      <c r="ID54" s="18"/>
      <c r="IE54" s="17"/>
      <c r="IF54" s="18"/>
      <c r="IG54" s="18"/>
      <c r="IH54" s="18"/>
      <c r="II54" s="17"/>
      <c r="IJ54" s="17"/>
      <c r="IK54" s="17"/>
      <c r="IL54" s="17"/>
      <c r="IM54" s="17"/>
    </row>
    <row r="55" spans="1:247" s="24" customFormat="1" ht="45" customHeight="1">
      <c r="A55" s="30">
        <v>105</v>
      </c>
      <c r="B55" s="49" t="s">
        <v>977</v>
      </c>
      <c r="C55" s="45" t="s">
        <v>38</v>
      </c>
      <c r="D55" s="46"/>
      <c r="E55" s="47">
        <v>32076</v>
      </c>
      <c r="F55" s="48">
        <v>4</v>
      </c>
      <c r="G55" s="51" t="s">
        <v>5539</v>
      </c>
      <c r="H55" s="30" t="s">
        <v>978</v>
      </c>
      <c r="I55" s="45" t="s">
        <v>92</v>
      </c>
      <c r="J55" s="45" t="s">
        <v>979</v>
      </c>
      <c r="K55" s="61" t="s">
        <v>5941</v>
      </c>
      <c r="L55" s="17"/>
      <c r="M55" s="16"/>
      <c r="N55" s="18"/>
      <c r="O55" s="19"/>
      <c r="P55" s="20"/>
      <c r="Q55" s="21"/>
      <c r="R55" s="18"/>
      <c r="S55" s="17"/>
      <c r="T55" s="18"/>
      <c r="U55" s="18"/>
      <c r="V55" s="18"/>
      <c r="W55" s="17"/>
      <c r="X55" s="17"/>
      <c r="Y55" s="17"/>
      <c r="Z55" s="17"/>
      <c r="AA55" s="17"/>
      <c r="AB55" s="17"/>
      <c r="AC55" s="17"/>
      <c r="AD55" s="17"/>
      <c r="AE55" s="22"/>
      <c r="AF55" s="17"/>
      <c r="AG55" s="16"/>
      <c r="AH55" s="18"/>
      <c r="AI55" s="19"/>
      <c r="AJ55" s="20"/>
      <c r="AK55" s="21"/>
      <c r="AL55" s="18"/>
      <c r="AM55" s="17"/>
      <c r="AN55" s="18"/>
      <c r="AO55" s="18"/>
      <c r="AP55" s="18"/>
      <c r="AQ55" s="17"/>
      <c r="AR55" s="17"/>
      <c r="AS55" s="17"/>
      <c r="AT55" s="17"/>
      <c r="AU55" s="17"/>
      <c r="AV55" s="17"/>
      <c r="AW55" s="17"/>
      <c r="AX55" s="17"/>
      <c r="AY55" s="22"/>
      <c r="AZ55" s="17"/>
      <c r="BA55" s="16"/>
      <c r="BB55" s="18"/>
      <c r="BC55" s="19"/>
      <c r="BD55" s="20"/>
      <c r="BE55" s="21"/>
      <c r="BF55" s="18"/>
      <c r="BG55" s="17"/>
      <c r="BH55" s="18"/>
      <c r="BI55" s="18"/>
      <c r="BJ55" s="18"/>
      <c r="BK55" s="17"/>
      <c r="BL55" s="17"/>
      <c r="BM55" s="17"/>
      <c r="BN55" s="17"/>
      <c r="BO55" s="17"/>
      <c r="BP55" s="17"/>
      <c r="BQ55" s="17"/>
      <c r="BR55" s="17"/>
      <c r="BS55" s="22"/>
      <c r="BT55" s="17"/>
      <c r="BU55" s="16"/>
      <c r="BV55" s="18"/>
      <c r="BW55" s="19"/>
      <c r="BX55" s="20"/>
      <c r="BY55" s="21"/>
      <c r="BZ55" s="18"/>
      <c r="CA55" s="17"/>
      <c r="CB55" s="18"/>
      <c r="CC55" s="18"/>
      <c r="CD55" s="18"/>
      <c r="CE55" s="17"/>
      <c r="CF55" s="17"/>
      <c r="CG55" s="17"/>
      <c r="CH55" s="17"/>
      <c r="CI55" s="17"/>
      <c r="CJ55" s="17"/>
      <c r="CK55" s="17"/>
      <c r="CL55" s="17"/>
      <c r="CM55" s="22"/>
      <c r="CN55" s="17"/>
      <c r="CO55" s="16"/>
      <c r="CP55" s="18"/>
      <c r="CQ55" s="19"/>
      <c r="CR55" s="20"/>
      <c r="CS55" s="21"/>
      <c r="CT55" s="18"/>
      <c r="CU55" s="17"/>
      <c r="CV55" s="18"/>
      <c r="CW55" s="18"/>
      <c r="CX55" s="18"/>
      <c r="CY55" s="17"/>
      <c r="CZ55" s="17"/>
      <c r="DA55" s="17"/>
      <c r="DB55" s="17"/>
      <c r="DC55" s="17"/>
      <c r="DD55" s="17"/>
      <c r="DE55" s="17"/>
      <c r="DF55" s="17"/>
      <c r="DG55" s="22"/>
      <c r="DH55" s="17"/>
      <c r="DI55" s="16"/>
      <c r="DJ55" s="18"/>
      <c r="DK55" s="19"/>
      <c r="DL55" s="20"/>
      <c r="DM55" s="21"/>
      <c r="DN55" s="18"/>
      <c r="DO55" s="17"/>
      <c r="DP55" s="18"/>
      <c r="DQ55" s="18"/>
      <c r="DR55" s="18"/>
      <c r="DS55" s="17"/>
      <c r="DT55" s="17"/>
      <c r="DU55" s="17"/>
      <c r="DV55" s="17"/>
      <c r="DW55" s="17"/>
      <c r="DX55" s="17"/>
      <c r="DY55" s="17"/>
      <c r="DZ55" s="17"/>
      <c r="EA55" s="22"/>
      <c r="EB55" s="17"/>
      <c r="EC55" s="16"/>
      <c r="ED55" s="18"/>
      <c r="EE55" s="19"/>
      <c r="EF55" s="20"/>
      <c r="EG55" s="21"/>
      <c r="EH55" s="18"/>
      <c r="EI55" s="17"/>
      <c r="EJ55" s="18"/>
      <c r="EK55" s="18"/>
      <c r="EL55" s="18"/>
      <c r="EM55" s="17"/>
      <c r="EN55" s="17"/>
      <c r="EO55" s="17"/>
      <c r="EP55" s="17"/>
      <c r="EQ55" s="17"/>
      <c r="ER55" s="17"/>
      <c r="ES55" s="17"/>
      <c r="ET55" s="17"/>
      <c r="EU55" s="22"/>
      <c r="EV55" s="17"/>
      <c r="EW55" s="16"/>
      <c r="EX55" s="18"/>
      <c r="EY55" s="19"/>
      <c r="EZ55" s="20"/>
      <c r="FA55" s="21"/>
      <c r="FB55" s="18"/>
      <c r="FC55" s="17"/>
      <c r="FD55" s="18"/>
      <c r="FE55" s="18"/>
      <c r="FF55" s="18"/>
      <c r="FG55" s="17"/>
      <c r="FH55" s="17"/>
      <c r="FI55" s="17"/>
      <c r="FJ55" s="17"/>
      <c r="FK55" s="17"/>
      <c r="FL55" s="17"/>
      <c r="FM55" s="17"/>
      <c r="FN55" s="17"/>
      <c r="FO55" s="22"/>
      <c r="FP55" s="17"/>
      <c r="FQ55" s="16"/>
      <c r="FR55" s="18"/>
      <c r="FS55" s="19"/>
      <c r="FT55" s="20"/>
      <c r="FU55" s="21"/>
      <c r="FV55" s="18"/>
      <c r="FW55" s="17"/>
      <c r="FX55" s="18"/>
      <c r="FY55" s="18"/>
      <c r="FZ55" s="18"/>
      <c r="GA55" s="17"/>
      <c r="GB55" s="17"/>
      <c r="GC55" s="17"/>
      <c r="GD55" s="17"/>
      <c r="GE55" s="17"/>
      <c r="GF55" s="17"/>
      <c r="GG55" s="17"/>
      <c r="GH55" s="17"/>
      <c r="GI55" s="22"/>
      <c r="GJ55" s="17"/>
      <c r="GK55" s="16"/>
      <c r="GL55" s="18"/>
      <c r="GM55" s="19"/>
      <c r="GN55" s="20"/>
      <c r="GO55" s="21"/>
      <c r="GP55" s="18"/>
      <c r="GQ55" s="17"/>
      <c r="GR55" s="18"/>
      <c r="GS55" s="18"/>
      <c r="GT55" s="18"/>
      <c r="GU55" s="17"/>
      <c r="GV55" s="17"/>
      <c r="GW55" s="17"/>
      <c r="GX55" s="17"/>
      <c r="GY55" s="17"/>
      <c r="GZ55" s="17"/>
      <c r="HA55" s="17"/>
      <c r="HB55" s="17"/>
      <c r="HC55" s="22"/>
      <c r="HD55" s="17"/>
      <c r="HE55" s="16"/>
      <c r="HF55" s="18"/>
      <c r="HG55" s="19"/>
      <c r="HH55" s="20"/>
      <c r="HI55" s="21"/>
      <c r="HJ55" s="18"/>
      <c r="HK55" s="17"/>
      <c r="HL55" s="18"/>
      <c r="HM55" s="18"/>
      <c r="HN55" s="18"/>
      <c r="HO55" s="17"/>
      <c r="HP55" s="17"/>
      <c r="HQ55" s="17"/>
      <c r="HR55" s="17"/>
      <c r="HS55" s="17"/>
      <c r="HT55" s="17"/>
      <c r="HU55" s="17"/>
      <c r="HV55" s="17"/>
      <c r="HW55" s="22"/>
      <c r="HX55" s="17"/>
      <c r="HY55" s="16"/>
      <c r="HZ55" s="18"/>
      <c r="IA55" s="19"/>
      <c r="IB55" s="20"/>
      <c r="IC55" s="21"/>
      <c r="ID55" s="18"/>
      <c r="IE55" s="17"/>
      <c r="IF55" s="18"/>
      <c r="IG55" s="18"/>
      <c r="IH55" s="18"/>
      <c r="II55" s="17"/>
      <c r="IJ55" s="17"/>
      <c r="IK55" s="17"/>
      <c r="IL55" s="17"/>
      <c r="IM55" s="17"/>
    </row>
    <row r="56" spans="1:247" s="24" customFormat="1" ht="45" customHeight="1">
      <c r="A56" s="30">
        <v>105</v>
      </c>
      <c r="B56" s="45" t="s">
        <v>970</v>
      </c>
      <c r="C56" s="45" t="s">
        <v>38</v>
      </c>
      <c r="D56" s="46"/>
      <c r="E56" s="47">
        <v>623310</v>
      </c>
      <c r="F56" s="48">
        <v>4</v>
      </c>
      <c r="G56" s="45" t="s">
        <v>971</v>
      </c>
      <c r="H56" s="30" t="s">
        <v>972</v>
      </c>
      <c r="I56" s="45" t="s">
        <v>222</v>
      </c>
      <c r="J56" s="45" t="s">
        <v>223</v>
      </c>
      <c r="K56" s="61" t="s">
        <v>5942</v>
      </c>
      <c r="L56" s="17"/>
      <c r="M56" s="16"/>
      <c r="N56" s="18"/>
      <c r="O56" s="19"/>
      <c r="P56" s="20"/>
      <c r="Q56" s="21"/>
      <c r="R56" s="18"/>
      <c r="S56" s="17"/>
      <c r="T56" s="18"/>
      <c r="U56" s="18"/>
      <c r="V56" s="18"/>
      <c r="W56" s="17"/>
      <c r="X56" s="17"/>
      <c r="Y56" s="17"/>
      <c r="Z56" s="17"/>
      <c r="AA56" s="17"/>
      <c r="AB56" s="17"/>
      <c r="AC56" s="17"/>
      <c r="AD56" s="17"/>
      <c r="AE56" s="22"/>
      <c r="AF56" s="17"/>
      <c r="AG56" s="16"/>
      <c r="AH56" s="18"/>
      <c r="AI56" s="19"/>
      <c r="AJ56" s="20"/>
      <c r="AK56" s="21"/>
      <c r="AL56" s="18"/>
      <c r="AM56" s="17"/>
      <c r="AN56" s="18"/>
      <c r="AO56" s="18"/>
      <c r="AP56" s="18"/>
      <c r="AQ56" s="17"/>
      <c r="AR56" s="17"/>
      <c r="AS56" s="17"/>
      <c r="AT56" s="17"/>
      <c r="AU56" s="17"/>
      <c r="AV56" s="17"/>
      <c r="AW56" s="17"/>
      <c r="AX56" s="17"/>
      <c r="AY56" s="22"/>
      <c r="AZ56" s="17"/>
      <c r="BA56" s="16"/>
      <c r="BB56" s="18"/>
      <c r="BC56" s="19"/>
      <c r="BD56" s="20"/>
      <c r="BE56" s="21"/>
      <c r="BF56" s="18"/>
      <c r="BG56" s="17"/>
      <c r="BH56" s="18"/>
      <c r="BI56" s="18"/>
      <c r="BJ56" s="18"/>
      <c r="BK56" s="17"/>
      <c r="BL56" s="17"/>
      <c r="BM56" s="17"/>
      <c r="BN56" s="17"/>
      <c r="BO56" s="17"/>
      <c r="BP56" s="17"/>
      <c r="BQ56" s="17"/>
      <c r="BR56" s="17"/>
      <c r="BS56" s="22"/>
      <c r="BT56" s="17"/>
      <c r="BU56" s="16"/>
      <c r="BV56" s="18"/>
      <c r="BW56" s="19"/>
      <c r="BX56" s="20"/>
      <c r="BY56" s="21"/>
      <c r="BZ56" s="18"/>
      <c r="CA56" s="17"/>
      <c r="CB56" s="18"/>
      <c r="CC56" s="18"/>
      <c r="CD56" s="18"/>
      <c r="CE56" s="17"/>
      <c r="CF56" s="17"/>
      <c r="CG56" s="17"/>
      <c r="CH56" s="17"/>
      <c r="CI56" s="17"/>
      <c r="CJ56" s="17"/>
      <c r="CK56" s="17"/>
      <c r="CL56" s="17"/>
      <c r="CM56" s="22"/>
      <c r="CN56" s="17"/>
      <c r="CO56" s="16"/>
      <c r="CP56" s="18"/>
      <c r="CQ56" s="19"/>
      <c r="CR56" s="20"/>
      <c r="CS56" s="21"/>
      <c r="CT56" s="18"/>
      <c r="CU56" s="17"/>
      <c r="CV56" s="18"/>
      <c r="CW56" s="18"/>
      <c r="CX56" s="18"/>
      <c r="CY56" s="17"/>
      <c r="CZ56" s="17"/>
      <c r="DA56" s="17"/>
      <c r="DB56" s="17"/>
      <c r="DC56" s="17"/>
      <c r="DD56" s="17"/>
      <c r="DE56" s="17"/>
      <c r="DF56" s="17"/>
      <c r="DG56" s="22"/>
      <c r="DH56" s="17"/>
      <c r="DI56" s="16"/>
      <c r="DJ56" s="18"/>
      <c r="DK56" s="19"/>
      <c r="DL56" s="20"/>
      <c r="DM56" s="21"/>
      <c r="DN56" s="18"/>
      <c r="DO56" s="17"/>
      <c r="DP56" s="18"/>
      <c r="DQ56" s="18"/>
      <c r="DR56" s="18"/>
      <c r="DS56" s="17"/>
      <c r="DT56" s="17"/>
      <c r="DU56" s="17"/>
      <c r="DV56" s="17"/>
      <c r="DW56" s="17"/>
      <c r="DX56" s="17"/>
      <c r="DY56" s="17"/>
      <c r="DZ56" s="17"/>
      <c r="EA56" s="22"/>
      <c r="EB56" s="17"/>
      <c r="EC56" s="16"/>
      <c r="ED56" s="18"/>
      <c r="EE56" s="19"/>
      <c r="EF56" s="20"/>
      <c r="EG56" s="21"/>
      <c r="EH56" s="18"/>
      <c r="EI56" s="17"/>
      <c r="EJ56" s="18"/>
      <c r="EK56" s="18"/>
      <c r="EL56" s="18"/>
      <c r="EM56" s="17"/>
      <c r="EN56" s="17"/>
      <c r="EO56" s="17"/>
      <c r="EP56" s="17"/>
      <c r="EQ56" s="17"/>
      <c r="ER56" s="17"/>
      <c r="ES56" s="17"/>
      <c r="ET56" s="17"/>
      <c r="EU56" s="22"/>
      <c r="EV56" s="17"/>
      <c r="EW56" s="16"/>
      <c r="EX56" s="18"/>
      <c r="EY56" s="19"/>
      <c r="EZ56" s="20"/>
      <c r="FA56" s="21"/>
      <c r="FB56" s="18"/>
      <c r="FC56" s="17"/>
      <c r="FD56" s="18"/>
      <c r="FE56" s="18"/>
      <c r="FF56" s="18"/>
      <c r="FG56" s="17"/>
      <c r="FH56" s="17"/>
      <c r="FI56" s="17"/>
      <c r="FJ56" s="17"/>
      <c r="FK56" s="17"/>
      <c r="FL56" s="17"/>
      <c r="FM56" s="17"/>
      <c r="FN56" s="17"/>
      <c r="FO56" s="22"/>
      <c r="FP56" s="17"/>
      <c r="FQ56" s="16"/>
      <c r="FR56" s="18"/>
      <c r="FS56" s="19"/>
      <c r="FT56" s="20"/>
      <c r="FU56" s="21"/>
      <c r="FV56" s="18"/>
      <c r="FW56" s="17"/>
      <c r="FX56" s="18"/>
      <c r="FY56" s="18"/>
      <c r="FZ56" s="18"/>
      <c r="GA56" s="17"/>
      <c r="GB56" s="17"/>
      <c r="GC56" s="17"/>
      <c r="GD56" s="17"/>
      <c r="GE56" s="17"/>
      <c r="GF56" s="17"/>
      <c r="GG56" s="17"/>
      <c r="GH56" s="17"/>
      <c r="GI56" s="22"/>
      <c r="GJ56" s="17"/>
      <c r="GK56" s="16"/>
      <c r="GL56" s="18"/>
      <c r="GM56" s="19"/>
      <c r="GN56" s="20"/>
      <c r="GO56" s="21"/>
      <c r="GP56" s="18"/>
      <c r="GQ56" s="17"/>
      <c r="GR56" s="18"/>
      <c r="GS56" s="18"/>
      <c r="GT56" s="18"/>
      <c r="GU56" s="17"/>
      <c r="GV56" s="17"/>
      <c r="GW56" s="17"/>
      <c r="GX56" s="17"/>
      <c r="GY56" s="17"/>
      <c r="GZ56" s="17"/>
      <c r="HA56" s="17"/>
      <c r="HB56" s="17"/>
      <c r="HC56" s="22"/>
      <c r="HD56" s="17"/>
      <c r="HE56" s="16"/>
      <c r="HF56" s="18"/>
      <c r="HG56" s="19"/>
      <c r="HH56" s="20"/>
      <c r="HI56" s="21"/>
      <c r="HJ56" s="18"/>
      <c r="HK56" s="17"/>
      <c r="HL56" s="18"/>
      <c r="HM56" s="18"/>
      <c r="HN56" s="18"/>
      <c r="HO56" s="17"/>
      <c r="HP56" s="17"/>
      <c r="HQ56" s="17"/>
      <c r="HR56" s="17"/>
      <c r="HS56" s="17"/>
      <c r="HT56" s="17"/>
      <c r="HU56" s="17"/>
      <c r="HV56" s="17"/>
      <c r="HW56" s="22"/>
      <c r="HX56" s="17"/>
      <c r="HY56" s="16"/>
      <c r="HZ56" s="18"/>
      <c r="IA56" s="19"/>
      <c r="IB56" s="20"/>
      <c r="IC56" s="21"/>
      <c r="ID56" s="18"/>
      <c r="IE56" s="17"/>
      <c r="IF56" s="18"/>
      <c r="IG56" s="18"/>
      <c r="IH56" s="18"/>
      <c r="II56" s="17"/>
      <c r="IJ56" s="17"/>
      <c r="IK56" s="17"/>
      <c r="IL56" s="17"/>
      <c r="IM56" s="17"/>
    </row>
    <row r="57" spans="1:247" s="24" customFormat="1" ht="45" customHeight="1">
      <c r="A57" s="30">
        <v>105</v>
      </c>
      <c r="B57" s="49" t="s">
        <v>224</v>
      </c>
      <c r="C57" s="45" t="s">
        <v>38</v>
      </c>
      <c r="D57" s="46"/>
      <c r="E57" s="47">
        <v>56965</v>
      </c>
      <c r="F57" s="48">
        <v>4</v>
      </c>
      <c r="G57" s="49" t="s">
        <v>5540</v>
      </c>
      <c r="H57" s="30" t="s">
        <v>973</v>
      </c>
      <c r="I57" s="45" t="s">
        <v>974</v>
      </c>
      <c r="J57" s="45" t="s">
        <v>975</v>
      </c>
      <c r="K57" s="61" t="s">
        <v>5943</v>
      </c>
      <c r="L57" s="17"/>
      <c r="M57" s="16"/>
      <c r="N57" s="18"/>
      <c r="O57" s="19"/>
      <c r="P57" s="20"/>
      <c r="Q57" s="21"/>
      <c r="R57" s="18"/>
      <c r="S57" s="17"/>
      <c r="T57" s="18"/>
      <c r="U57" s="18"/>
      <c r="V57" s="18"/>
      <c r="W57" s="17"/>
      <c r="X57" s="17"/>
      <c r="Y57" s="17"/>
      <c r="Z57" s="17"/>
      <c r="AA57" s="17"/>
      <c r="AB57" s="17"/>
      <c r="AC57" s="17"/>
      <c r="AD57" s="17"/>
      <c r="AE57" s="22"/>
      <c r="AF57" s="17"/>
      <c r="AG57" s="16"/>
      <c r="AH57" s="18"/>
      <c r="AI57" s="19"/>
      <c r="AJ57" s="20"/>
      <c r="AK57" s="21"/>
      <c r="AL57" s="18"/>
      <c r="AM57" s="17"/>
      <c r="AN57" s="18"/>
      <c r="AO57" s="18"/>
      <c r="AP57" s="18"/>
      <c r="AQ57" s="17"/>
      <c r="AR57" s="17"/>
      <c r="AS57" s="17"/>
      <c r="AT57" s="17"/>
      <c r="AU57" s="17"/>
      <c r="AV57" s="17"/>
      <c r="AW57" s="17"/>
      <c r="AX57" s="17"/>
      <c r="AY57" s="22"/>
      <c r="AZ57" s="17"/>
      <c r="BA57" s="16"/>
      <c r="BB57" s="18"/>
      <c r="BC57" s="19"/>
      <c r="BD57" s="20"/>
      <c r="BE57" s="21"/>
      <c r="BF57" s="18"/>
      <c r="BG57" s="17"/>
      <c r="BH57" s="18"/>
      <c r="BI57" s="18"/>
      <c r="BJ57" s="18"/>
      <c r="BK57" s="17"/>
      <c r="BL57" s="17"/>
      <c r="BM57" s="17"/>
      <c r="BN57" s="17"/>
      <c r="BO57" s="17"/>
      <c r="BP57" s="17"/>
      <c r="BQ57" s="17"/>
      <c r="BR57" s="17"/>
      <c r="BS57" s="22"/>
      <c r="BT57" s="17"/>
      <c r="BU57" s="16"/>
      <c r="BV57" s="18"/>
      <c r="BW57" s="19"/>
      <c r="BX57" s="20"/>
      <c r="BY57" s="21"/>
      <c r="BZ57" s="18"/>
      <c r="CA57" s="17"/>
      <c r="CB57" s="18"/>
      <c r="CC57" s="18"/>
      <c r="CD57" s="18"/>
      <c r="CE57" s="17"/>
      <c r="CF57" s="17"/>
      <c r="CG57" s="17"/>
      <c r="CH57" s="17"/>
      <c r="CI57" s="17"/>
      <c r="CJ57" s="17"/>
      <c r="CK57" s="17"/>
      <c r="CL57" s="17"/>
      <c r="CM57" s="22"/>
      <c r="CN57" s="17"/>
      <c r="CO57" s="16"/>
      <c r="CP57" s="18"/>
      <c r="CQ57" s="19"/>
      <c r="CR57" s="20"/>
      <c r="CS57" s="21"/>
      <c r="CT57" s="18"/>
      <c r="CU57" s="17"/>
      <c r="CV57" s="18"/>
      <c r="CW57" s="18"/>
      <c r="CX57" s="18"/>
      <c r="CY57" s="17"/>
      <c r="CZ57" s="17"/>
      <c r="DA57" s="17"/>
      <c r="DB57" s="17"/>
      <c r="DC57" s="17"/>
      <c r="DD57" s="17"/>
      <c r="DE57" s="17"/>
      <c r="DF57" s="17"/>
      <c r="DG57" s="22"/>
      <c r="DH57" s="17"/>
      <c r="DI57" s="16"/>
      <c r="DJ57" s="18"/>
      <c r="DK57" s="19"/>
      <c r="DL57" s="20"/>
      <c r="DM57" s="21"/>
      <c r="DN57" s="18"/>
      <c r="DO57" s="17"/>
      <c r="DP57" s="18"/>
      <c r="DQ57" s="18"/>
      <c r="DR57" s="18"/>
      <c r="DS57" s="17"/>
      <c r="DT57" s="17"/>
      <c r="DU57" s="17"/>
      <c r="DV57" s="17"/>
      <c r="DW57" s="17"/>
      <c r="DX57" s="17"/>
      <c r="DY57" s="17"/>
      <c r="DZ57" s="17"/>
      <c r="EA57" s="22"/>
      <c r="EB57" s="17"/>
      <c r="EC57" s="16"/>
      <c r="ED57" s="18"/>
      <c r="EE57" s="19"/>
      <c r="EF57" s="20"/>
      <c r="EG57" s="21"/>
      <c r="EH57" s="18"/>
      <c r="EI57" s="17"/>
      <c r="EJ57" s="18"/>
      <c r="EK57" s="18"/>
      <c r="EL57" s="18"/>
      <c r="EM57" s="17"/>
      <c r="EN57" s="17"/>
      <c r="EO57" s="17"/>
      <c r="EP57" s="17"/>
      <c r="EQ57" s="17"/>
      <c r="ER57" s="17"/>
      <c r="ES57" s="17"/>
      <c r="ET57" s="17"/>
      <c r="EU57" s="22"/>
      <c r="EV57" s="17"/>
      <c r="EW57" s="16"/>
      <c r="EX57" s="18"/>
      <c r="EY57" s="19"/>
      <c r="EZ57" s="20"/>
      <c r="FA57" s="21"/>
      <c r="FB57" s="18"/>
      <c r="FC57" s="17"/>
      <c r="FD57" s="18"/>
      <c r="FE57" s="18"/>
      <c r="FF57" s="18"/>
      <c r="FG57" s="17"/>
      <c r="FH57" s="17"/>
      <c r="FI57" s="17"/>
      <c r="FJ57" s="17"/>
      <c r="FK57" s="17"/>
      <c r="FL57" s="17"/>
      <c r="FM57" s="17"/>
      <c r="FN57" s="17"/>
      <c r="FO57" s="22"/>
      <c r="FP57" s="17"/>
      <c r="FQ57" s="16"/>
      <c r="FR57" s="18"/>
      <c r="FS57" s="19"/>
      <c r="FT57" s="20"/>
      <c r="FU57" s="21"/>
      <c r="FV57" s="18"/>
      <c r="FW57" s="17"/>
      <c r="FX57" s="18"/>
      <c r="FY57" s="18"/>
      <c r="FZ57" s="18"/>
      <c r="GA57" s="17"/>
      <c r="GB57" s="17"/>
      <c r="GC57" s="17"/>
      <c r="GD57" s="17"/>
      <c r="GE57" s="17"/>
      <c r="GF57" s="17"/>
      <c r="GG57" s="17"/>
      <c r="GH57" s="17"/>
      <c r="GI57" s="22"/>
      <c r="GJ57" s="17"/>
      <c r="GK57" s="16"/>
      <c r="GL57" s="18"/>
      <c r="GM57" s="19"/>
      <c r="GN57" s="20"/>
      <c r="GO57" s="21"/>
      <c r="GP57" s="18"/>
      <c r="GQ57" s="17"/>
      <c r="GR57" s="18"/>
      <c r="GS57" s="18"/>
      <c r="GT57" s="18"/>
      <c r="GU57" s="17"/>
      <c r="GV57" s="17"/>
      <c r="GW57" s="17"/>
      <c r="GX57" s="17"/>
      <c r="GY57" s="17"/>
      <c r="GZ57" s="17"/>
      <c r="HA57" s="17"/>
      <c r="HB57" s="17"/>
      <c r="HC57" s="22"/>
      <c r="HD57" s="17"/>
      <c r="HE57" s="16"/>
      <c r="HF57" s="18"/>
      <c r="HG57" s="19"/>
      <c r="HH57" s="20"/>
      <c r="HI57" s="21"/>
      <c r="HJ57" s="18"/>
      <c r="HK57" s="17"/>
      <c r="HL57" s="18"/>
      <c r="HM57" s="18"/>
      <c r="HN57" s="18"/>
      <c r="HO57" s="17"/>
      <c r="HP57" s="17"/>
      <c r="HQ57" s="17"/>
      <c r="HR57" s="17"/>
      <c r="HS57" s="17"/>
      <c r="HT57" s="17"/>
      <c r="HU57" s="17"/>
      <c r="HV57" s="17"/>
      <c r="HW57" s="22"/>
      <c r="HX57" s="17"/>
      <c r="HY57" s="16"/>
      <c r="HZ57" s="18"/>
      <c r="IA57" s="19"/>
      <c r="IB57" s="20"/>
      <c r="IC57" s="21"/>
      <c r="ID57" s="18"/>
      <c r="IE57" s="17"/>
      <c r="IF57" s="18"/>
      <c r="IG57" s="18"/>
      <c r="IH57" s="18"/>
      <c r="II57" s="17"/>
      <c r="IJ57" s="17"/>
      <c r="IK57" s="17"/>
      <c r="IL57" s="17"/>
      <c r="IM57" s="17"/>
    </row>
    <row r="58" spans="1:247" s="24" customFormat="1" ht="45" customHeight="1">
      <c r="A58" s="30">
        <v>105</v>
      </c>
      <c r="B58" s="45" t="s">
        <v>861</v>
      </c>
      <c r="C58" s="45" t="s">
        <v>38</v>
      </c>
      <c r="D58" s="46"/>
      <c r="E58" s="47">
        <v>10000</v>
      </c>
      <c r="F58" s="48">
        <v>4</v>
      </c>
      <c r="G58" s="49" t="s">
        <v>5541</v>
      </c>
      <c r="H58" s="30" t="s">
        <v>976</v>
      </c>
      <c r="I58" s="45" t="s">
        <v>107</v>
      </c>
      <c r="J58" s="45" t="s">
        <v>122</v>
      </c>
      <c r="K58" s="50" t="str">
        <f>"00032422"</f>
        <v>00032422</v>
      </c>
      <c r="L58" s="17"/>
      <c r="M58" s="16"/>
      <c r="N58" s="18"/>
      <c r="O58" s="19"/>
      <c r="P58" s="20"/>
      <c r="Q58" s="21"/>
      <c r="R58" s="18"/>
      <c r="S58" s="17"/>
      <c r="T58" s="18"/>
      <c r="U58" s="18"/>
      <c r="V58" s="18"/>
      <c r="W58" s="17"/>
      <c r="X58" s="17"/>
      <c r="Y58" s="17"/>
      <c r="Z58" s="17"/>
      <c r="AA58" s="17"/>
      <c r="AB58" s="17"/>
      <c r="AC58" s="17"/>
      <c r="AD58" s="17"/>
      <c r="AE58" s="22"/>
      <c r="AF58" s="17"/>
      <c r="AG58" s="16"/>
      <c r="AH58" s="18"/>
      <c r="AI58" s="19"/>
      <c r="AJ58" s="20"/>
      <c r="AK58" s="21"/>
      <c r="AL58" s="18"/>
      <c r="AM58" s="17"/>
      <c r="AN58" s="18"/>
      <c r="AO58" s="18"/>
      <c r="AP58" s="18"/>
      <c r="AQ58" s="17"/>
      <c r="AR58" s="17"/>
      <c r="AS58" s="17"/>
      <c r="AT58" s="17"/>
      <c r="AU58" s="17"/>
      <c r="AV58" s="17"/>
      <c r="AW58" s="17"/>
      <c r="AX58" s="17"/>
      <c r="AY58" s="22"/>
      <c r="AZ58" s="17"/>
      <c r="BA58" s="16"/>
      <c r="BB58" s="18"/>
      <c r="BC58" s="19"/>
      <c r="BD58" s="20"/>
      <c r="BE58" s="21"/>
      <c r="BF58" s="18"/>
      <c r="BG58" s="17"/>
      <c r="BH58" s="18"/>
      <c r="BI58" s="18"/>
      <c r="BJ58" s="18"/>
      <c r="BK58" s="17"/>
      <c r="BL58" s="17"/>
      <c r="BM58" s="17"/>
      <c r="BN58" s="17"/>
      <c r="BO58" s="17"/>
      <c r="BP58" s="17"/>
      <c r="BQ58" s="17"/>
      <c r="BR58" s="17"/>
      <c r="BS58" s="22"/>
      <c r="BT58" s="17"/>
      <c r="BU58" s="16"/>
      <c r="BV58" s="18"/>
      <c r="BW58" s="19"/>
      <c r="BX58" s="20"/>
      <c r="BY58" s="21"/>
      <c r="BZ58" s="18"/>
      <c r="CA58" s="17"/>
      <c r="CB58" s="18"/>
      <c r="CC58" s="18"/>
      <c r="CD58" s="18"/>
      <c r="CE58" s="17"/>
      <c r="CF58" s="17"/>
      <c r="CG58" s="17"/>
      <c r="CH58" s="17"/>
      <c r="CI58" s="17"/>
      <c r="CJ58" s="17"/>
      <c r="CK58" s="17"/>
      <c r="CL58" s="17"/>
      <c r="CM58" s="22"/>
      <c r="CN58" s="17"/>
      <c r="CO58" s="16"/>
      <c r="CP58" s="18"/>
      <c r="CQ58" s="19"/>
      <c r="CR58" s="20"/>
      <c r="CS58" s="21"/>
      <c r="CT58" s="18"/>
      <c r="CU58" s="17"/>
      <c r="CV58" s="18"/>
      <c r="CW58" s="18"/>
      <c r="CX58" s="18"/>
      <c r="CY58" s="17"/>
      <c r="CZ58" s="17"/>
      <c r="DA58" s="17"/>
      <c r="DB58" s="17"/>
      <c r="DC58" s="17"/>
      <c r="DD58" s="17"/>
      <c r="DE58" s="17"/>
      <c r="DF58" s="17"/>
      <c r="DG58" s="22"/>
      <c r="DH58" s="17"/>
      <c r="DI58" s="16"/>
      <c r="DJ58" s="18"/>
      <c r="DK58" s="19"/>
      <c r="DL58" s="20"/>
      <c r="DM58" s="21"/>
      <c r="DN58" s="18"/>
      <c r="DO58" s="17"/>
      <c r="DP58" s="18"/>
      <c r="DQ58" s="18"/>
      <c r="DR58" s="18"/>
      <c r="DS58" s="17"/>
      <c r="DT58" s="17"/>
      <c r="DU58" s="17"/>
      <c r="DV58" s="17"/>
      <c r="DW58" s="17"/>
      <c r="DX58" s="17"/>
      <c r="DY58" s="17"/>
      <c r="DZ58" s="17"/>
      <c r="EA58" s="22"/>
      <c r="EB58" s="17"/>
      <c r="EC58" s="16"/>
      <c r="ED58" s="18"/>
      <c r="EE58" s="19"/>
      <c r="EF58" s="20"/>
      <c r="EG58" s="21"/>
      <c r="EH58" s="18"/>
      <c r="EI58" s="17"/>
      <c r="EJ58" s="18"/>
      <c r="EK58" s="18"/>
      <c r="EL58" s="18"/>
      <c r="EM58" s="17"/>
      <c r="EN58" s="17"/>
      <c r="EO58" s="17"/>
      <c r="EP58" s="17"/>
      <c r="EQ58" s="17"/>
      <c r="ER58" s="17"/>
      <c r="ES58" s="17"/>
      <c r="ET58" s="17"/>
      <c r="EU58" s="22"/>
      <c r="EV58" s="17"/>
      <c r="EW58" s="16"/>
      <c r="EX58" s="18"/>
      <c r="EY58" s="19"/>
      <c r="EZ58" s="20"/>
      <c r="FA58" s="21"/>
      <c r="FB58" s="18"/>
      <c r="FC58" s="17"/>
      <c r="FD58" s="18"/>
      <c r="FE58" s="18"/>
      <c r="FF58" s="18"/>
      <c r="FG58" s="17"/>
      <c r="FH58" s="17"/>
      <c r="FI58" s="17"/>
      <c r="FJ58" s="17"/>
      <c r="FK58" s="17"/>
      <c r="FL58" s="17"/>
      <c r="FM58" s="17"/>
      <c r="FN58" s="17"/>
      <c r="FO58" s="22"/>
      <c r="FP58" s="17"/>
      <c r="FQ58" s="16"/>
      <c r="FR58" s="18"/>
      <c r="FS58" s="19"/>
      <c r="FT58" s="20"/>
      <c r="FU58" s="21"/>
      <c r="FV58" s="18"/>
      <c r="FW58" s="17"/>
      <c r="FX58" s="18"/>
      <c r="FY58" s="18"/>
      <c r="FZ58" s="18"/>
      <c r="GA58" s="17"/>
      <c r="GB58" s="17"/>
      <c r="GC58" s="17"/>
      <c r="GD58" s="17"/>
      <c r="GE58" s="17"/>
      <c r="GF58" s="17"/>
      <c r="GG58" s="17"/>
      <c r="GH58" s="17"/>
      <c r="GI58" s="22"/>
      <c r="GJ58" s="17"/>
      <c r="GK58" s="16"/>
      <c r="GL58" s="18"/>
      <c r="GM58" s="19"/>
      <c r="GN58" s="20"/>
      <c r="GO58" s="21"/>
      <c r="GP58" s="18"/>
      <c r="GQ58" s="17"/>
      <c r="GR58" s="18"/>
      <c r="GS58" s="18"/>
      <c r="GT58" s="18"/>
      <c r="GU58" s="17"/>
      <c r="GV58" s="17"/>
      <c r="GW58" s="17"/>
      <c r="GX58" s="17"/>
      <c r="GY58" s="17"/>
      <c r="GZ58" s="17"/>
      <c r="HA58" s="17"/>
      <c r="HB58" s="17"/>
      <c r="HC58" s="22"/>
      <c r="HD58" s="17"/>
      <c r="HE58" s="16"/>
      <c r="HF58" s="18"/>
      <c r="HG58" s="19"/>
      <c r="HH58" s="20"/>
      <c r="HI58" s="21"/>
      <c r="HJ58" s="18"/>
      <c r="HK58" s="17"/>
      <c r="HL58" s="18"/>
      <c r="HM58" s="18"/>
      <c r="HN58" s="18"/>
      <c r="HO58" s="17"/>
      <c r="HP58" s="17"/>
      <c r="HQ58" s="17"/>
      <c r="HR58" s="17"/>
      <c r="HS58" s="17"/>
      <c r="HT58" s="17"/>
      <c r="HU58" s="17"/>
      <c r="HV58" s="17"/>
      <c r="HW58" s="22"/>
      <c r="HX58" s="17"/>
      <c r="HY58" s="16"/>
      <c r="HZ58" s="18"/>
      <c r="IA58" s="19"/>
      <c r="IB58" s="20"/>
      <c r="IC58" s="21"/>
      <c r="ID58" s="18"/>
      <c r="IE58" s="17"/>
      <c r="IF58" s="18"/>
      <c r="IG58" s="18"/>
      <c r="IH58" s="18"/>
      <c r="II58" s="17"/>
      <c r="IJ58" s="17"/>
      <c r="IK58" s="17"/>
      <c r="IL58" s="17"/>
      <c r="IM58" s="17"/>
    </row>
    <row r="59" spans="1:247" s="24" customFormat="1" ht="45" customHeight="1">
      <c r="A59" s="30">
        <v>105</v>
      </c>
      <c r="B59" s="45" t="s">
        <v>963</v>
      </c>
      <c r="C59" s="45" t="s">
        <v>38</v>
      </c>
      <c r="D59" s="46"/>
      <c r="E59" s="47">
        <v>109022</v>
      </c>
      <c r="F59" s="48">
        <v>4</v>
      </c>
      <c r="G59" s="45" t="s">
        <v>964</v>
      </c>
      <c r="H59" s="30" t="s">
        <v>965</v>
      </c>
      <c r="I59" s="45" t="s">
        <v>107</v>
      </c>
      <c r="J59" s="45" t="s">
        <v>966</v>
      </c>
      <c r="K59" s="61" t="s">
        <v>5944</v>
      </c>
      <c r="L59" s="17"/>
      <c r="M59" s="16"/>
      <c r="N59" s="18"/>
      <c r="O59" s="19"/>
      <c r="P59" s="20"/>
      <c r="Q59" s="21"/>
      <c r="R59" s="18"/>
      <c r="S59" s="17"/>
      <c r="T59" s="18"/>
      <c r="U59" s="18"/>
      <c r="V59" s="18"/>
      <c r="W59" s="17"/>
      <c r="X59" s="17"/>
      <c r="Y59" s="17"/>
      <c r="Z59" s="17"/>
      <c r="AA59" s="17"/>
      <c r="AB59" s="17"/>
      <c r="AC59" s="17"/>
      <c r="AD59" s="17"/>
      <c r="AE59" s="22"/>
      <c r="AF59" s="17"/>
      <c r="AG59" s="16"/>
      <c r="AH59" s="18"/>
      <c r="AI59" s="19"/>
      <c r="AJ59" s="20"/>
      <c r="AK59" s="21"/>
      <c r="AL59" s="18"/>
      <c r="AM59" s="17"/>
      <c r="AN59" s="18"/>
      <c r="AO59" s="18"/>
      <c r="AP59" s="18"/>
      <c r="AQ59" s="17"/>
      <c r="AR59" s="17"/>
      <c r="AS59" s="17"/>
      <c r="AT59" s="17"/>
      <c r="AU59" s="17"/>
      <c r="AV59" s="17"/>
      <c r="AW59" s="17"/>
      <c r="AX59" s="17"/>
      <c r="AY59" s="22"/>
      <c r="AZ59" s="17"/>
      <c r="BA59" s="16"/>
      <c r="BB59" s="18"/>
      <c r="BC59" s="19"/>
      <c r="BD59" s="20"/>
      <c r="BE59" s="21"/>
      <c r="BF59" s="18"/>
      <c r="BG59" s="17"/>
      <c r="BH59" s="18"/>
      <c r="BI59" s="18"/>
      <c r="BJ59" s="18"/>
      <c r="BK59" s="17"/>
      <c r="BL59" s="17"/>
      <c r="BM59" s="17"/>
      <c r="BN59" s="17"/>
      <c r="BO59" s="17"/>
      <c r="BP59" s="17"/>
      <c r="BQ59" s="17"/>
      <c r="BR59" s="17"/>
      <c r="BS59" s="22"/>
      <c r="BT59" s="17"/>
      <c r="BU59" s="16"/>
      <c r="BV59" s="18"/>
      <c r="BW59" s="19"/>
      <c r="BX59" s="20"/>
      <c r="BY59" s="21"/>
      <c r="BZ59" s="18"/>
      <c r="CA59" s="17"/>
      <c r="CB59" s="18"/>
      <c r="CC59" s="18"/>
      <c r="CD59" s="18"/>
      <c r="CE59" s="17"/>
      <c r="CF59" s="17"/>
      <c r="CG59" s="17"/>
      <c r="CH59" s="17"/>
      <c r="CI59" s="17"/>
      <c r="CJ59" s="17"/>
      <c r="CK59" s="17"/>
      <c r="CL59" s="17"/>
      <c r="CM59" s="22"/>
      <c r="CN59" s="17"/>
      <c r="CO59" s="16"/>
      <c r="CP59" s="18"/>
      <c r="CQ59" s="19"/>
      <c r="CR59" s="20"/>
      <c r="CS59" s="21"/>
      <c r="CT59" s="18"/>
      <c r="CU59" s="17"/>
      <c r="CV59" s="18"/>
      <c r="CW59" s="18"/>
      <c r="CX59" s="18"/>
      <c r="CY59" s="17"/>
      <c r="CZ59" s="17"/>
      <c r="DA59" s="17"/>
      <c r="DB59" s="17"/>
      <c r="DC59" s="17"/>
      <c r="DD59" s="17"/>
      <c r="DE59" s="17"/>
      <c r="DF59" s="17"/>
      <c r="DG59" s="22"/>
      <c r="DH59" s="17"/>
      <c r="DI59" s="16"/>
      <c r="DJ59" s="18"/>
      <c r="DK59" s="19"/>
      <c r="DL59" s="20"/>
      <c r="DM59" s="21"/>
      <c r="DN59" s="18"/>
      <c r="DO59" s="17"/>
      <c r="DP59" s="18"/>
      <c r="DQ59" s="18"/>
      <c r="DR59" s="18"/>
      <c r="DS59" s="17"/>
      <c r="DT59" s="17"/>
      <c r="DU59" s="17"/>
      <c r="DV59" s="17"/>
      <c r="DW59" s="17"/>
      <c r="DX59" s="17"/>
      <c r="DY59" s="17"/>
      <c r="DZ59" s="17"/>
      <c r="EA59" s="22"/>
      <c r="EB59" s="17"/>
      <c r="EC59" s="16"/>
      <c r="ED59" s="18"/>
      <c r="EE59" s="19"/>
      <c r="EF59" s="20"/>
      <c r="EG59" s="21"/>
      <c r="EH59" s="18"/>
      <c r="EI59" s="17"/>
      <c r="EJ59" s="18"/>
      <c r="EK59" s="18"/>
      <c r="EL59" s="18"/>
      <c r="EM59" s="17"/>
      <c r="EN59" s="17"/>
      <c r="EO59" s="17"/>
      <c r="EP59" s="17"/>
      <c r="EQ59" s="17"/>
      <c r="ER59" s="17"/>
      <c r="ES59" s="17"/>
      <c r="ET59" s="17"/>
      <c r="EU59" s="22"/>
      <c r="EV59" s="17"/>
      <c r="EW59" s="16"/>
      <c r="EX59" s="18"/>
      <c r="EY59" s="19"/>
      <c r="EZ59" s="20"/>
      <c r="FA59" s="21"/>
      <c r="FB59" s="18"/>
      <c r="FC59" s="17"/>
      <c r="FD59" s="18"/>
      <c r="FE59" s="18"/>
      <c r="FF59" s="18"/>
      <c r="FG59" s="17"/>
      <c r="FH59" s="17"/>
      <c r="FI59" s="17"/>
      <c r="FJ59" s="17"/>
      <c r="FK59" s="17"/>
      <c r="FL59" s="17"/>
      <c r="FM59" s="17"/>
      <c r="FN59" s="17"/>
      <c r="FO59" s="22"/>
      <c r="FP59" s="17"/>
      <c r="FQ59" s="16"/>
      <c r="FR59" s="18"/>
      <c r="FS59" s="19"/>
      <c r="FT59" s="20"/>
      <c r="FU59" s="21"/>
      <c r="FV59" s="18"/>
      <c r="FW59" s="17"/>
      <c r="FX59" s="18"/>
      <c r="FY59" s="18"/>
      <c r="FZ59" s="18"/>
      <c r="GA59" s="17"/>
      <c r="GB59" s="17"/>
      <c r="GC59" s="17"/>
      <c r="GD59" s="17"/>
      <c r="GE59" s="17"/>
      <c r="GF59" s="17"/>
      <c r="GG59" s="17"/>
      <c r="GH59" s="17"/>
      <c r="GI59" s="22"/>
      <c r="GJ59" s="17"/>
      <c r="GK59" s="16"/>
      <c r="GL59" s="18"/>
      <c r="GM59" s="19"/>
      <c r="GN59" s="20"/>
      <c r="GO59" s="21"/>
      <c r="GP59" s="18"/>
      <c r="GQ59" s="17"/>
      <c r="GR59" s="18"/>
      <c r="GS59" s="18"/>
      <c r="GT59" s="18"/>
      <c r="GU59" s="17"/>
      <c r="GV59" s="17"/>
      <c r="GW59" s="17"/>
      <c r="GX59" s="17"/>
      <c r="GY59" s="17"/>
      <c r="GZ59" s="17"/>
      <c r="HA59" s="17"/>
      <c r="HB59" s="17"/>
      <c r="HC59" s="22"/>
      <c r="HD59" s="17"/>
      <c r="HE59" s="16"/>
      <c r="HF59" s="18"/>
      <c r="HG59" s="19"/>
      <c r="HH59" s="20"/>
      <c r="HI59" s="21"/>
      <c r="HJ59" s="18"/>
      <c r="HK59" s="17"/>
      <c r="HL59" s="18"/>
      <c r="HM59" s="18"/>
      <c r="HN59" s="18"/>
      <c r="HO59" s="17"/>
      <c r="HP59" s="17"/>
      <c r="HQ59" s="17"/>
      <c r="HR59" s="17"/>
      <c r="HS59" s="17"/>
      <c r="HT59" s="17"/>
      <c r="HU59" s="17"/>
      <c r="HV59" s="17"/>
      <c r="HW59" s="22"/>
      <c r="HX59" s="17"/>
      <c r="HY59" s="16"/>
      <c r="HZ59" s="18"/>
      <c r="IA59" s="19"/>
      <c r="IB59" s="20"/>
      <c r="IC59" s="21"/>
      <c r="ID59" s="18"/>
      <c r="IE59" s="17"/>
      <c r="IF59" s="18"/>
      <c r="IG59" s="18"/>
      <c r="IH59" s="18"/>
      <c r="II59" s="17"/>
      <c r="IJ59" s="17"/>
      <c r="IK59" s="17"/>
      <c r="IL59" s="17"/>
      <c r="IM59" s="17"/>
    </row>
    <row r="60" spans="1:247" s="24" customFormat="1" ht="45" customHeight="1">
      <c r="A60" s="30">
        <v>105</v>
      </c>
      <c r="B60" s="45" t="s">
        <v>980</v>
      </c>
      <c r="C60" s="45" t="s">
        <v>38</v>
      </c>
      <c r="D60" s="46"/>
      <c r="E60" s="47">
        <v>95222</v>
      </c>
      <c r="F60" s="48">
        <v>4</v>
      </c>
      <c r="G60" s="49" t="s">
        <v>981</v>
      </c>
      <c r="H60" s="30" t="s">
        <v>982</v>
      </c>
      <c r="I60" s="45" t="s">
        <v>96</v>
      </c>
      <c r="J60" s="45" t="s">
        <v>319</v>
      </c>
      <c r="K60" s="50" t="str">
        <f>"00031473"</f>
        <v>00031473</v>
      </c>
      <c r="L60" s="17"/>
      <c r="M60" s="16"/>
      <c r="N60" s="18"/>
      <c r="O60" s="19"/>
      <c r="P60" s="20"/>
      <c r="Q60" s="21"/>
      <c r="R60" s="18"/>
      <c r="S60" s="17"/>
      <c r="T60" s="18"/>
      <c r="U60" s="18"/>
      <c r="V60" s="18"/>
      <c r="W60" s="17"/>
      <c r="X60" s="17"/>
      <c r="Y60" s="17"/>
      <c r="Z60" s="17"/>
      <c r="AA60" s="17"/>
      <c r="AB60" s="17"/>
      <c r="AC60" s="17"/>
      <c r="AD60" s="17"/>
      <c r="AE60" s="22"/>
      <c r="AF60" s="17"/>
      <c r="AG60" s="16"/>
      <c r="AH60" s="18"/>
      <c r="AI60" s="19"/>
      <c r="AJ60" s="20"/>
      <c r="AK60" s="21"/>
      <c r="AL60" s="18"/>
      <c r="AM60" s="17"/>
      <c r="AN60" s="18"/>
      <c r="AO60" s="18"/>
      <c r="AP60" s="18"/>
      <c r="AQ60" s="17"/>
      <c r="AR60" s="17"/>
      <c r="AS60" s="17"/>
      <c r="AT60" s="17"/>
      <c r="AU60" s="17"/>
      <c r="AV60" s="17"/>
      <c r="AW60" s="17"/>
      <c r="AX60" s="17"/>
      <c r="AY60" s="22"/>
      <c r="AZ60" s="17"/>
      <c r="BA60" s="16"/>
      <c r="BB60" s="18"/>
      <c r="BC60" s="19"/>
      <c r="BD60" s="20"/>
      <c r="BE60" s="21"/>
      <c r="BF60" s="18"/>
      <c r="BG60" s="17"/>
      <c r="BH60" s="18"/>
      <c r="BI60" s="18"/>
      <c r="BJ60" s="18"/>
      <c r="BK60" s="17"/>
      <c r="BL60" s="17"/>
      <c r="BM60" s="17"/>
      <c r="BN60" s="17"/>
      <c r="BO60" s="17"/>
      <c r="BP60" s="17"/>
      <c r="BQ60" s="17"/>
      <c r="BR60" s="17"/>
      <c r="BS60" s="22"/>
      <c r="BT60" s="17"/>
      <c r="BU60" s="16"/>
      <c r="BV60" s="18"/>
      <c r="BW60" s="19"/>
      <c r="BX60" s="20"/>
      <c r="BY60" s="21"/>
      <c r="BZ60" s="18"/>
      <c r="CA60" s="17"/>
      <c r="CB60" s="18"/>
      <c r="CC60" s="18"/>
      <c r="CD60" s="18"/>
      <c r="CE60" s="17"/>
      <c r="CF60" s="17"/>
      <c r="CG60" s="17"/>
      <c r="CH60" s="17"/>
      <c r="CI60" s="17"/>
      <c r="CJ60" s="17"/>
      <c r="CK60" s="17"/>
      <c r="CL60" s="17"/>
      <c r="CM60" s="22"/>
      <c r="CN60" s="17"/>
      <c r="CO60" s="16"/>
      <c r="CP60" s="18"/>
      <c r="CQ60" s="19"/>
      <c r="CR60" s="20"/>
      <c r="CS60" s="21"/>
      <c r="CT60" s="18"/>
      <c r="CU60" s="17"/>
      <c r="CV60" s="18"/>
      <c r="CW60" s="18"/>
      <c r="CX60" s="18"/>
      <c r="CY60" s="17"/>
      <c r="CZ60" s="17"/>
      <c r="DA60" s="17"/>
      <c r="DB60" s="17"/>
      <c r="DC60" s="17"/>
      <c r="DD60" s="17"/>
      <c r="DE60" s="17"/>
      <c r="DF60" s="17"/>
      <c r="DG60" s="22"/>
      <c r="DH60" s="17"/>
      <c r="DI60" s="16"/>
      <c r="DJ60" s="18"/>
      <c r="DK60" s="19"/>
      <c r="DL60" s="20"/>
      <c r="DM60" s="21"/>
      <c r="DN60" s="18"/>
      <c r="DO60" s="17"/>
      <c r="DP60" s="18"/>
      <c r="DQ60" s="18"/>
      <c r="DR60" s="18"/>
      <c r="DS60" s="17"/>
      <c r="DT60" s="17"/>
      <c r="DU60" s="17"/>
      <c r="DV60" s="17"/>
      <c r="DW60" s="17"/>
      <c r="DX60" s="17"/>
      <c r="DY60" s="17"/>
      <c r="DZ60" s="17"/>
      <c r="EA60" s="22"/>
      <c r="EB60" s="17"/>
      <c r="EC60" s="16"/>
      <c r="ED60" s="18"/>
      <c r="EE60" s="19"/>
      <c r="EF60" s="20"/>
      <c r="EG60" s="21"/>
      <c r="EH60" s="18"/>
      <c r="EI60" s="17"/>
      <c r="EJ60" s="18"/>
      <c r="EK60" s="18"/>
      <c r="EL60" s="18"/>
      <c r="EM60" s="17"/>
      <c r="EN60" s="17"/>
      <c r="EO60" s="17"/>
      <c r="EP60" s="17"/>
      <c r="EQ60" s="17"/>
      <c r="ER60" s="17"/>
      <c r="ES60" s="17"/>
      <c r="ET60" s="17"/>
      <c r="EU60" s="22"/>
      <c r="EV60" s="17"/>
      <c r="EW60" s="16"/>
      <c r="EX60" s="18"/>
      <c r="EY60" s="19"/>
      <c r="EZ60" s="20"/>
      <c r="FA60" s="21"/>
      <c r="FB60" s="18"/>
      <c r="FC60" s="17"/>
      <c r="FD60" s="18"/>
      <c r="FE60" s="18"/>
      <c r="FF60" s="18"/>
      <c r="FG60" s="17"/>
      <c r="FH60" s="17"/>
      <c r="FI60" s="17"/>
      <c r="FJ60" s="17"/>
      <c r="FK60" s="17"/>
      <c r="FL60" s="17"/>
      <c r="FM60" s="17"/>
      <c r="FN60" s="17"/>
      <c r="FO60" s="22"/>
      <c r="FP60" s="17"/>
      <c r="FQ60" s="16"/>
      <c r="FR60" s="18"/>
      <c r="FS60" s="19"/>
      <c r="FT60" s="20"/>
      <c r="FU60" s="21"/>
      <c r="FV60" s="18"/>
      <c r="FW60" s="17"/>
      <c r="FX60" s="18"/>
      <c r="FY60" s="18"/>
      <c r="FZ60" s="18"/>
      <c r="GA60" s="17"/>
      <c r="GB60" s="17"/>
      <c r="GC60" s="17"/>
      <c r="GD60" s="17"/>
      <c r="GE60" s="17"/>
      <c r="GF60" s="17"/>
      <c r="GG60" s="17"/>
      <c r="GH60" s="17"/>
      <c r="GI60" s="22"/>
      <c r="GJ60" s="17"/>
      <c r="GK60" s="16"/>
      <c r="GL60" s="18"/>
      <c r="GM60" s="19"/>
      <c r="GN60" s="20"/>
      <c r="GO60" s="21"/>
      <c r="GP60" s="18"/>
      <c r="GQ60" s="17"/>
      <c r="GR60" s="18"/>
      <c r="GS60" s="18"/>
      <c r="GT60" s="18"/>
      <c r="GU60" s="17"/>
      <c r="GV60" s="17"/>
      <c r="GW60" s="17"/>
      <c r="GX60" s="17"/>
      <c r="GY60" s="17"/>
      <c r="GZ60" s="17"/>
      <c r="HA60" s="17"/>
      <c r="HB60" s="17"/>
      <c r="HC60" s="22"/>
      <c r="HD60" s="17"/>
      <c r="HE60" s="16"/>
      <c r="HF60" s="18"/>
      <c r="HG60" s="19"/>
      <c r="HH60" s="20"/>
      <c r="HI60" s="21"/>
      <c r="HJ60" s="18"/>
      <c r="HK60" s="17"/>
      <c r="HL60" s="18"/>
      <c r="HM60" s="18"/>
      <c r="HN60" s="18"/>
      <c r="HO60" s="17"/>
      <c r="HP60" s="17"/>
      <c r="HQ60" s="17"/>
      <c r="HR60" s="17"/>
      <c r="HS60" s="17"/>
      <c r="HT60" s="17"/>
      <c r="HU60" s="17"/>
      <c r="HV60" s="17"/>
      <c r="HW60" s="22"/>
      <c r="HX60" s="17"/>
      <c r="HY60" s="16"/>
      <c r="HZ60" s="18"/>
      <c r="IA60" s="19"/>
      <c r="IB60" s="20"/>
      <c r="IC60" s="21"/>
      <c r="ID60" s="18"/>
      <c r="IE60" s="17"/>
      <c r="IF60" s="18"/>
      <c r="IG60" s="18"/>
      <c r="IH60" s="18"/>
      <c r="II60" s="17"/>
      <c r="IJ60" s="17"/>
      <c r="IK60" s="17"/>
      <c r="IL60" s="17"/>
      <c r="IM60" s="17"/>
    </row>
    <row r="61" spans="1:247" s="24" customFormat="1" ht="45" customHeight="1">
      <c r="A61" s="30">
        <v>105</v>
      </c>
      <c r="B61" s="49" t="s">
        <v>845</v>
      </c>
      <c r="C61" s="45" t="s">
        <v>38</v>
      </c>
      <c r="D61" s="46"/>
      <c r="E61" s="47">
        <v>23907</v>
      </c>
      <c r="F61" s="48">
        <v>4</v>
      </c>
      <c r="G61" s="51" t="s">
        <v>987</v>
      </c>
      <c r="H61" s="30" t="s">
        <v>988</v>
      </c>
      <c r="I61" s="45" t="s">
        <v>94</v>
      </c>
      <c r="J61" s="45" t="s">
        <v>650</v>
      </c>
      <c r="K61" s="50" t="str">
        <f>"00031881"</f>
        <v>00031881</v>
      </c>
      <c r="L61" s="17"/>
      <c r="M61" s="16"/>
      <c r="N61" s="18"/>
      <c r="O61" s="19"/>
      <c r="P61" s="20"/>
      <c r="Q61" s="21"/>
      <c r="R61" s="18"/>
      <c r="S61" s="17"/>
      <c r="T61" s="18"/>
      <c r="U61" s="18"/>
      <c r="V61" s="18"/>
      <c r="W61" s="17"/>
      <c r="X61" s="17"/>
      <c r="Y61" s="17"/>
      <c r="Z61" s="17"/>
      <c r="AA61" s="17"/>
      <c r="AB61" s="17"/>
      <c r="AC61" s="17"/>
      <c r="AD61" s="17"/>
      <c r="AE61" s="22"/>
      <c r="AF61" s="17"/>
      <c r="AG61" s="16"/>
      <c r="AH61" s="18"/>
      <c r="AI61" s="19"/>
      <c r="AJ61" s="20"/>
      <c r="AK61" s="21"/>
      <c r="AL61" s="18"/>
      <c r="AM61" s="17"/>
      <c r="AN61" s="18"/>
      <c r="AO61" s="18"/>
      <c r="AP61" s="18"/>
      <c r="AQ61" s="17"/>
      <c r="AR61" s="17"/>
      <c r="AS61" s="17"/>
      <c r="AT61" s="17"/>
      <c r="AU61" s="17"/>
      <c r="AV61" s="17"/>
      <c r="AW61" s="17"/>
      <c r="AX61" s="17"/>
      <c r="AY61" s="22"/>
      <c r="AZ61" s="17"/>
      <c r="BA61" s="16"/>
      <c r="BB61" s="18"/>
      <c r="BC61" s="19"/>
      <c r="BD61" s="20"/>
      <c r="BE61" s="21"/>
      <c r="BF61" s="18"/>
      <c r="BG61" s="17"/>
      <c r="BH61" s="18"/>
      <c r="BI61" s="18"/>
      <c r="BJ61" s="18"/>
      <c r="BK61" s="17"/>
      <c r="BL61" s="17"/>
      <c r="BM61" s="17"/>
      <c r="BN61" s="17"/>
      <c r="BO61" s="17"/>
      <c r="BP61" s="17"/>
      <c r="BQ61" s="17"/>
      <c r="BR61" s="17"/>
      <c r="BS61" s="22"/>
      <c r="BT61" s="17"/>
      <c r="BU61" s="16"/>
      <c r="BV61" s="18"/>
      <c r="BW61" s="19"/>
      <c r="BX61" s="20"/>
      <c r="BY61" s="21"/>
      <c r="BZ61" s="18"/>
      <c r="CA61" s="17"/>
      <c r="CB61" s="18"/>
      <c r="CC61" s="18"/>
      <c r="CD61" s="18"/>
      <c r="CE61" s="17"/>
      <c r="CF61" s="17"/>
      <c r="CG61" s="17"/>
      <c r="CH61" s="17"/>
      <c r="CI61" s="17"/>
      <c r="CJ61" s="17"/>
      <c r="CK61" s="17"/>
      <c r="CL61" s="17"/>
      <c r="CM61" s="22"/>
      <c r="CN61" s="17"/>
      <c r="CO61" s="16"/>
      <c r="CP61" s="18"/>
      <c r="CQ61" s="19"/>
      <c r="CR61" s="20"/>
      <c r="CS61" s="21"/>
      <c r="CT61" s="18"/>
      <c r="CU61" s="17"/>
      <c r="CV61" s="18"/>
      <c r="CW61" s="18"/>
      <c r="CX61" s="18"/>
      <c r="CY61" s="17"/>
      <c r="CZ61" s="17"/>
      <c r="DA61" s="17"/>
      <c r="DB61" s="17"/>
      <c r="DC61" s="17"/>
      <c r="DD61" s="17"/>
      <c r="DE61" s="17"/>
      <c r="DF61" s="17"/>
      <c r="DG61" s="22"/>
      <c r="DH61" s="17"/>
      <c r="DI61" s="16"/>
      <c r="DJ61" s="18"/>
      <c r="DK61" s="19"/>
      <c r="DL61" s="20"/>
      <c r="DM61" s="21"/>
      <c r="DN61" s="18"/>
      <c r="DO61" s="17"/>
      <c r="DP61" s="18"/>
      <c r="DQ61" s="18"/>
      <c r="DR61" s="18"/>
      <c r="DS61" s="17"/>
      <c r="DT61" s="17"/>
      <c r="DU61" s="17"/>
      <c r="DV61" s="17"/>
      <c r="DW61" s="17"/>
      <c r="DX61" s="17"/>
      <c r="DY61" s="17"/>
      <c r="DZ61" s="17"/>
      <c r="EA61" s="22"/>
      <c r="EB61" s="17"/>
      <c r="EC61" s="16"/>
      <c r="ED61" s="18"/>
      <c r="EE61" s="19"/>
      <c r="EF61" s="20"/>
      <c r="EG61" s="21"/>
      <c r="EH61" s="18"/>
      <c r="EI61" s="17"/>
      <c r="EJ61" s="18"/>
      <c r="EK61" s="18"/>
      <c r="EL61" s="18"/>
      <c r="EM61" s="17"/>
      <c r="EN61" s="17"/>
      <c r="EO61" s="17"/>
      <c r="EP61" s="17"/>
      <c r="EQ61" s="17"/>
      <c r="ER61" s="17"/>
      <c r="ES61" s="17"/>
      <c r="ET61" s="17"/>
      <c r="EU61" s="22"/>
      <c r="EV61" s="17"/>
      <c r="EW61" s="16"/>
      <c r="EX61" s="18"/>
      <c r="EY61" s="19"/>
      <c r="EZ61" s="20"/>
      <c r="FA61" s="21"/>
      <c r="FB61" s="18"/>
      <c r="FC61" s="17"/>
      <c r="FD61" s="18"/>
      <c r="FE61" s="18"/>
      <c r="FF61" s="18"/>
      <c r="FG61" s="17"/>
      <c r="FH61" s="17"/>
      <c r="FI61" s="17"/>
      <c r="FJ61" s="17"/>
      <c r="FK61" s="17"/>
      <c r="FL61" s="17"/>
      <c r="FM61" s="17"/>
      <c r="FN61" s="17"/>
      <c r="FO61" s="22"/>
      <c r="FP61" s="17"/>
      <c r="FQ61" s="16"/>
      <c r="FR61" s="18"/>
      <c r="FS61" s="19"/>
      <c r="FT61" s="20"/>
      <c r="FU61" s="21"/>
      <c r="FV61" s="18"/>
      <c r="FW61" s="17"/>
      <c r="FX61" s="18"/>
      <c r="FY61" s="18"/>
      <c r="FZ61" s="18"/>
      <c r="GA61" s="17"/>
      <c r="GB61" s="17"/>
      <c r="GC61" s="17"/>
      <c r="GD61" s="17"/>
      <c r="GE61" s="17"/>
      <c r="GF61" s="17"/>
      <c r="GG61" s="17"/>
      <c r="GH61" s="17"/>
      <c r="GI61" s="22"/>
      <c r="GJ61" s="17"/>
      <c r="GK61" s="16"/>
      <c r="GL61" s="18"/>
      <c r="GM61" s="19"/>
      <c r="GN61" s="20"/>
      <c r="GO61" s="21"/>
      <c r="GP61" s="18"/>
      <c r="GQ61" s="17"/>
      <c r="GR61" s="18"/>
      <c r="GS61" s="18"/>
      <c r="GT61" s="18"/>
      <c r="GU61" s="17"/>
      <c r="GV61" s="17"/>
      <c r="GW61" s="17"/>
      <c r="GX61" s="17"/>
      <c r="GY61" s="17"/>
      <c r="GZ61" s="17"/>
      <c r="HA61" s="17"/>
      <c r="HB61" s="17"/>
      <c r="HC61" s="22"/>
      <c r="HD61" s="17"/>
      <c r="HE61" s="16"/>
      <c r="HF61" s="18"/>
      <c r="HG61" s="19"/>
      <c r="HH61" s="20"/>
      <c r="HI61" s="21"/>
      <c r="HJ61" s="18"/>
      <c r="HK61" s="17"/>
      <c r="HL61" s="18"/>
      <c r="HM61" s="18"/>
      <c r="HN61" s="18"/>
      <c r="HO61" s="17"/>
      <c r="HP61" s="17"/>
      <c r="HQ61" s="17"/>
      <c r="HR61" s="17"/>
      <c r="HS61" s="17"/>
      <c r="HT61" s="17"/>
      <c r="HU61" s="17"/>
      <c r="HV61" s="17"/>
      <c r="HW61" s="22"/>
      <c r="HX61" s="17"/>
      <c r="HY61" s="16"/>
      <c r="HZ61" s="18"/>
      <c r="IA61" s="19"/>
      <c r="IB61" s="20"/>
      <c r="IC61" s="21"/>
      <c r="ID61" s="18"/>
      <c r="IE61" s="17"/>
      <c r="IF61" s="18"/>
      <c r="IG61" s="18"/>
      <c r="IH61" s="18"/>
      <c r="II61" s="17"/>
      <c r="IJ61" s="17"/>
      <c r="IK61" s="17"/>
      <c r="IL61" s="17"/>
      <c r="IM61" s="17"/>
    </row>
    <row r="62" spans="1:247" s="24" customFormat="1" ht="45" customHeight="1">
      <c r="A62" s="30">
        <v>105</v>
      </c>
      <c r="B62" s="45" t="s">
        <v>983</v>
      </c>
      <c r="C62" s="45" t="s">
        <v>38</v>
      </c>
      <c r="D62" s="46"/>
      <c r="E62" s="47">
        <v>68897</v>
      </c>
      <c r="F62" s="48">
        <v>4</v>
      </c>
      <c r="G62" s="45" t="s">
        <v>984</v>
      </c>
      <c r="H62" s="30" t="s">
        <v>985</v>
      </c>
      <c r="I62" s="45" t="s">
        <v>116</v>
      </c>
      <c r="J62" s="45" t="s">
        <v>986</v>
      </c>
      <c r="K62" s="61" t="s">
        <v>5945</v>
      </c>
      <c r="L62" s="17"/>
      <c r="M62" s="16"/>
      <c r="N62" s="18"/>
      <c r="O62" s="19"/>
      <c r="P62" s="20"/>
      <c r="Q62" s="21"/>
      <c r="R62" s="18"/>
      <c r="S62" s="17"/>
      <c r="T62" s="18"/>
      <c r="U62" s="18"/>
      <c r="V62" s="18"/>
      <c r="W62" s="17"/>
      <c r="X62" s="17"/>
      <c r="Y62" s="17"/>
      <c r="Z62" s="17"/>
      <c r="AA62" s="17"/>
      <c r="AB62" s="17"/>
      <c r="AC62" s="17"/>
      <c r="AD62" s="17"/>
      <c r="AE62" s="22"/>
      <c r="AF62" s="17"/>
      <c r="AG62" s="16"/>
      <c r="AH62" s="18"/>
      <c r="AI62" s="19"/>
      <c r="AJ62" s="20"/>
      <c r="AK62" s="21"/>
      <c r="AL62" s="18"/>
      <c r="AM62" s="17"/>
      <c r="AN62" s="18"/>
      <c r="AO62" s="18"/>
      <c r="AP62" s="18"/>
      <c r="AQ62" s="17"/>
      <c r="AR62" s="17"/>
      <c r="AS62" s="17"/>
      <c r="AT62" s="17"/>
      <c r="AU62" s="17"/>
      <c r="AV62" s="17"/>
      <c r="AW62" s="17"/>
      <c r="AX62" s="17"/>
      <c r="AY62" s="22"/>
      <c r="AZ62" s="17"/>
      <c r="BA62" s="16"/>
      <c r="BB62" s="18"/>
      <c r="BC62" s="19"/>
      <c r="BD62" s="20"/>
      <c r="BE62" s="21"/>
      <c r="BF62" s="18"/>
      <c r="BG62" s="17"/>
      <c r="BH62" s="18"/>
      <c r="BI62" s="18"/>
      <c r="BJ62" s="18"/>
      <c r="BK62" s="17"/>
      <c r="BL62" s="17"/>
      <c r="BM62" s="17"/>
      <c r="BN62" s="17"/>
      <c r="BO62" s="17"/>
      <c r="BP62" s="17"/>
      <c r="BQ62" s="17"/>
      <c r="BR62" s="17"/>
      <c r="BS62" s="22"/>
      <c r="BT62" s="17"/>
      <c r="BU62" s="16"/>
      <c r="BV62" s="18"/>
      <c r="BW62" s="19"/>
      <c r="BX62" s="20"/>
      <c r="BY62" s="21"/>
      <c r="BZ62" s="18"/>
      <c r="CA62" s="17"/>
      <c r="CB62" s="18"/>
      <c r="CC62" s="18"/>
      <c r="CD62" s="18"/>
      <c r="CE62" s="17"/>
      <c r="CF62" s="17"/>
      <c r="CG62" s="17"/>
      <c r="CH62" s="17"/>
      <c r="CI62" s="17"/>
      <c r="CJ62" s="17"/>
      <c r="CK62" s="17"/>
      <c r="CL62" s="17"/>
      <c r="CM62" s="22"/>
      <c r="CN62" s="17"/>
      <c r="CO62" s="16"/>
      <c r="CP62" s="18"/>
      <c r="CQ62" s="19"/>
      <c r="CR62" s="20"/>
      <c r="CS62" s="21"/>
      <c r="CT62" s="18"/>
      <c r="CU62" s="17"/>
      <c r="CV62" s="18"/>
      <c r="CW62" s="18"/>
      <c r="CX62" s="18"/>
      <c r="CY62" s="17"/>
      <c r="CZ62" s="17"/>
      <c r="DA62" s="17"/>
      <c r="DB62" s="17"/>
      <c r="DC62" s="17"/>
      <c r="DD62" s="17"/>
      <c r="DE62" s="17"/>
      <c r="DF62" s="17"/>
      <c r="DG62" s="22"/>
      <c r="DH62" s="17"/>
      <c r="DI62" s="16"/>
      <c r="DJ62" s="18"/>
      <c r="DK62" s="19"/>
      <c r="DL62" s="20"/>
      <c r="DM62" s="21"/>
      <c r="DN62" s="18"/>
      <c r="DO62" s="17"/>
      <c r="DP62" s="18"/>
      <c r="DQ62" s="18"/>
      <c r="DR62" s="18"/>
      <c r="DS62" s="17"/>
      <c r="DT62" s="17"/>
      <c r="DU62" s="17"/>
      <c r="DV62" s="17"/>
      <c r="DW62" s="17"/>
      <c r="DX62" s="17"/>
      <c r="DY62" s="17"/>
      <c r="DZ62" s="17"/>
      <c r="EA62" s="22"/>
      <c r="EB62" s="17"/>
      <c r="EC62" s="16"/>
      <c r="ED62" s="18"/>
      <c r="EE62" s="19"/>
      <c r="EF62" s="20"/>
      <c r="EG62" s="21"/>
      <c r="EH62" s="18"/>
      <c r="EI62" s="17"/>
      <c r="EJ62" s="18"/>
      <c r="EK62" s="18"/>
      <c r="EL62" s="18"/>
      <c r="EM62" s="17"/>
      <c r="EN62" s="17"/>
      <c r="EO62" s="17"/>
      <c r="EP62" s="17"/>
      <c r="EQ62" s="17"/>
      <c r="ER62" s="17"/>
      <c r="ES62" s="17"/>
      <c r="ET62" s="17"/>
      <c r="EU62" s="22"/>
      <c r="EV62" s="17"/>
      <c r="EW62" s="16"/>
      <c r="EX62" s="18"/>
      <c r="EY62" s="19"/>
      <c r="EZ62" s="20"/>
      <c r="FA62" s="21"/>
      <c r="FB62" s="18"/>
      <c r="FC62" s="17"/>
      <c r="FD62" s="18"/>
      <c r="FE62" s="18"/>
      <c r="FF62" s="18"/>
      <c r="FG62" s="17"/>
      <c r="FH62" s="17"/>
      <c r="FI62" s="17"/>
      <c r="FJ62" s="17"/>
      <c r="FK62" s="17"/>
      <c r="FL62" s="17"/>
      <c r="FM62" s="17"/>
      <c r="FN62" s="17"/>
      <c r="FO62" s="22"/>
      <c r="FP62" s="17"/>
      <c r="FQ62" s="16"/>
      <c r="FR62" s="18"/>
      <c r="FS62" s="19"/>
      <c r="FT62" s="20"/>
      <c r="FU62" s="21"/>
      <c r="FV62" s="18"/>
      <c r="FW62" s="17"/>
      <c r="FX62" s="18"/>
      <c r="FY62" s="18"/>
      <c r="FZ62" s="18"/>
      <c r="GA62" s="17"/>
      <c r="GB62" s="17"/>
      <c r="GC62" s="17"/>
      <c r="GD62" s="17"/>
      <c r="GE62" s="17"/>
      <c r="GF62" s="17"/>
      <c r="GG62" s="17"/>
      <c r="GH62" s="17"/>
      <c r="GI62" s="22"/>
      <c r="GJ62" s="17"/>
      <c r="GK62" s="16"/>
      <c r="GL62" s="18"/>
      <c r="GM62" s="19"/>
      <c r="GN62" s="20"/>
      <c r="GO62" s="21"/>
      <c r="GP62" s="18"/>
      <c r="GQ62" s="17"/>
      <c r="GR62" s="18"/>
      <c r="GS62" s="18"/>
      <c r="GT62" s="18"/>
      <c r="GU62" s="17"/>
      <c r="GV62" s="17"/>
      <c r="GW62" s="17"/>
      <c r="GX62" s="17"/>
      <c r="GY62" s="17"/>
      <c r="GZ62" s="17"/>
      <c r="HA62" s="17"/>
      <c r="HB62" s="17"/>
      <c r="HC62" s="22"/>
      <c r="HD62" s="17"/>
      <c r="HE62" s="16"/>
      <c r="HF62" s="18"/>
      <c r="HG62" s="19"/>
      <c r="HH62" s="20"/>
      <c r="HI62" s="21"/>
      <c r="HJ62" s="18"/>
      <c r="HK62" s="17"/>
      <c r="HL62" s="18"/>
      <c r="HM62" s="18"/>
      <c r="HN62" s="18"/>
      <c r="HO62" s="17"/>
      <c r="HP62" s="17"/>
      <c r="HQ62" s="17"/>
      <c r="HR62" s="17"/>
      <c r="HS62" s="17"/>
      <c r="HT62" s="17"/>
      <c r="HU62" s="17"/>
      <c r="HV62" s="17"/>
      <c r="HW62" s="22"/>
      <c r="HX62" s="17"/>
      <c r="HY62" s="16"/>
      <c r="HZ62" s="18"/>
      <c r="IA62" s="19"/>
      <c r="IB62" s="20"/>
      <c r="IC62" s="21"/>
      <c r="ID62" s="18"/>
      <c r="IE62" s="17"/>
      <c r="IF62" s="18"/>
      <c r="IG62" s="18"/>
      <c r="IH62" s="18"/>
      <c r="II62" s="17"/>
      <c r="IJ62" s="17"/>
      <c r="IK62" s="17"/>
      <c r="IL62" s="17"/>
      <c r="IM62" s="17"/>
    </row>
    <row r="63" spans="1:247" s="23" customFormat="1" ht="45" customHeight="1">
      <c r="A63" s="30">
        <v>105</v>
      </c>
      <c r="B63" s="49" t="s">
        <v>248</v>
      </c>
      <c r="C63" s="45" t="s">
        <v>38</v>
      </c>
      <c r="D63" s="46"/>
      <c r="E63" s="47">
        <v>392731</v>
      </c>
      <c r="F63" s="48">
        <v>4</v>
      </c>
      <c r="G63" s="45" t="s">
        <v>954</v>
      </c>
      <c r="H63" s="30" t="s">
        <v>955</v>
      </c>
      <c r="I63" s="45" t="s">
        <v>222</v>
      </c>
      <c r="J63" s="45" t="s">
        <v>223</v>
      </c>
      <c r="K63" s="61" t="s">
        <v>5946</v>
      </c>
      <c r="L63" s="17"/>
      <c r="M63" s="16"/>
      <c r="N63" s="18"/>
      <c r="O63" s="19"/>
      <c r="P63" s="20"/>
      <c r="Q63" s="21"/>
      <c r="R63" s="18"/>
      <c r="S63" s="17"/>
      <c r="T63" s="18"/>
      <c r="U63" s="18"/>
      <c r="V63" s="18"/>
      <c r="W63" s="17"/>
      <c r="X63" s="17"/>
      <c r="Y63" s="17"/>
      <c r="Z63" s="17"/>
      <c r="AA63" s="17"/>
      <c r="AB63" s="17"/>
      <c r="AC63" s="17"/>
      <c r="AD63" s="17"/>
      <c r="AE63" s="22"/>
      <c r="AF63" s="17"/>
      <c r="AG63" s="16"/>
      <c r="AH63" s="18"/>
      <c r="AI63" s="19"/>
      <c r="AJ63" s="20"/>
      <c r="AK63" s="21"/>
      <c r="AL63" s="18"/>
      <c r="AM63" s="17"/>
      <c r="AN63" s="18"/>
      <c r="AO63" s="18"/>
      <c r="AP63" s="18"/>
      <c r="AQ63" s="17"/>
      <c r="AR63" s="17"/>
      <c r="AS63" s="17"/>
      <c r="AT63" s="17"/>
      <c r="AU63" s="17"/>
      <c r="AV63" s="17"/>
      <c r="AW63" s="17"/>
      <c r="AX63" s="17"/>
      <c r="AY63" s="22"/>
      <c r="AZ63" s="17"/>
      <c r="BA63" s="16"/>
      <c r="BB63" s="18"/>
      <c r="BC63" s="19"/>
      <c r="BD63" s="20"/>
      <c r="BE63" s="21"/>
      <c r="BF63" s="18"/>
      <c r="BG63" s="17"/>
      <c r="BH63" s="18"/>
      <c r="BI63" s="18"/>
      <c r="BJ63" s="18"/>
      <c r="BK63" s="17"/>
      <c r="BL63" s="17"/>
      <c r="BM63" s="17"/>
      <c r="BN63" s="17"/>
      <c r="BO63" s="17"/>
      <c r="BP63" s="17"/>
      <c r="BQ63" s="17"/>
      <c r="BR63" s="17"/>
      <c r="BS63" s="22"/>
      <c r="BT63" s="17"/>
      <c r="BU63" s="16"/>
      <c r="BV63" s="18"/>
      <c r="BW63" s="19"/>
      <c r="BX63" s="20"/>
      <c r="BY63" s="21"/>
      <c r="BZ63" s="18"/>
      <c r="CA63" s="17"/>
      <c r="CB63" s="18"/>
      <c r="CC63" s="18"/>
      <c r="CD63" s="18"/>
      <c r="CE63" s="17"/>
      <c r="CF63" s="17"/>
      <c r="CG63" s="17"/>
      <c r="CH63" s="17"/>
      <c r="CI63" s="17"/>
      <c r="CJ63" s="17"/>
      <c r="CK63" s="17"/>
      <c r="CL63" s="17"/>
      <c r="CM63" s="22"/>
      <c r="CN63" s="17"/>
      <c r="CO63" s="16"/>
      <c r="CP63" s="18"/>
      <c r="CQ63" s="19"/>
      <c r="CR63" s="20"/>
      <c r="CS63" s="21"/>
      <c r="CT63" s="18"/>
      <c r="CU63" s="17"/>
      <c r="CV63" s="18"/>
      <c r="CW63" s="18"/>
      <c r="CX63" s="18"/>
      <c r="CY63" s="17"/>
      <c r="CZ63" s="17"/>
      <c r="DA63" s="17"/>
      <c r="DB63" s="17"/>
      <c r="DC63" s="17"/>
      <c r="DD63" s="17"/>
      <c r="DE63" s="17"/>
      <c r="DF63" s="17"/>
      <c r="DG63" s="22"/>
      <c r="DH63" s="17"/>
      <c r="DI63" s="16"/>
      <c r="DJ63" s="18"/>
      <c r="DK63" s="19"/>
      <c r="DL63" s="20"/>
      <c r="DM63" s="21"/>
      <c r="DN63" s="18"/>
      <c r="DO63" s="17"/>
      <c r="DP63" s="18"/>
      <c r="DQ63" s="18"/>
      <c r="DR63" s="18"/>
      <c r="DS63" s="17"/>
      <c r="DT63" s="17"/>
      <c r="DU63" s="17"/>
      <c r="DV63" s="17"/>
      <c r="DW63" s="17"/>
      <c r="DX63" s="17"/>
      <c r="DY63" s="17"/>
      <c r="DZ63" s="17"/>
      <c r="EA63" s="22"/>
      <c r="EB63" s="17"/>
      <c r="EC63" s="16"/>
      <c r="ED63" s="18"/>
      <c r="EE63" s="19"/>
      <c r="EF63" s="20"/>
      <c r="EG63" s="21"/>
      <c r="EH63" s="18"/>
      <c r="EI63" s="17"/>
      <c r="EJ63" s="18"/>
      <c r="EK63" s="18"/>
      <c r="EL63" s="18"/>
      <c r="EM63" s="17"/>
      <c r="EN63" s="17"/>
      <c r="EO63" s="17"/>
      <c r="EP63" s="17"/>
      <c r="EQ63" s="17"/>
      <c r="ER63" s="17"/>
      <c r="ES63" s="17"/>
      <c r="ET63" s="17"/>
      <c r="EU63" s="22"/>
      <c r="EV63" s="17"/>
      <c r="EW63" s="16"/>
      <c r="EX63" s="18"/>
      <c r="EY63" s="19"/>
      <c r="EZ63" s="20"/>
      <c r="FA63" s="21"/>
      <c r="FB63" s="18"/>
      <c r="FC63" s="17"/>
      <c r="FD63" s="18"/>
      <c r="FE63" s="18"/>
      <c r="FF63" s="18"/>
      <c r="FG63" s="17"/>
      <c r="FH63" s="17"/>
      <c r="FI63" s="17"/>
      <c r="FJ63" s="17"/>
      <c r="FK63" s="17"/>
      <c r="FL63" s="17"/>
      <c r="FM63" s="17"/>
      <c r="FN63" s="17"/>
      <c r="FO63" s="22"/>
      <c r="FP63" s="17"/>
      <c r="FQ63" s="16"/>
      <c r="FR63" s="18"/>
      <c r="FS63" s="19"/>
      <c r="FT63" s="20"/>
      <c r="FU63" s="21"/>
      <c r="FV63" s="18"/>
      <c r="FW63" s="17"/>
      <c r="FX63" s="18"/>
      <c r="FY63" s="18"/>
      <c r="FZ63" s="18"/>
      <c r="GA63" s="17"/>
      <c r="GB63" s="17"/>
      <c r="GC63" s="17"/>
      <c r="GD63" s="17"/>
      <c r="GE63" s="17"/>
      <c r="GF63" s="17"/>
      <c r="GG63" s="17"/>
      <c r="GH63" s="17"/>
      <c r="GI63" s="22"/>
      <c r="GJ63" s="17"/>
      <c r="GK63" s="16"/>
      <c r="GL63" s="18"/>
      <c r="GM63" s="19"/>
      <c r="GN63" s="20"/>
      <c r="GO63" s="21"/>
      <c r="GP63" s="18"/>
      <c r="GQ63" s="17"/>
      <c r="GR63" s="18"/>
      <c r="GS63" s="18"/>
      <c r="GT63" s="18"/>
      <c r="GU63" s="17"/>
      <c r="GV63" s="17"/>
      <c r="GW63" s="17"/>
      <c r="GX63" s="17"/>
      <c r="GY63" s="17"/>
      <c r="GZ63" s="17"/>
      <c r="HA63" s="17"/>
      <c r="HB63" s="17"/>
      <c r="HC63" s="22"/>
      <c r="HD63" s="17"/>
      <c r="HE63" s="16"/>
      <c r="HF63" s="18"/>
      <c r="HG63" s="19"/>
      <c r="HH63" s="20"/>
      <c r="HI63" s="21"/>
      <c r="HJ63" s="18"/>
      <c r="HK63" s="17"/>
      <c r="HL63" s="18"/>
      <c r="HM63" s="18"/>
      <c r="HN63" s="18"/>
      <c r="HO63" s="17"/>
      <c r="HP63" s="17"/>
      <c r="HQ63" s="17"/>
      <c r="HR63" s="17"/>
      <c r="HS63" s="17"/>
      <c r="HT63" s="17"/>
      <c r="HU63" s="17"/>
      <c r="HV63" s="17"/>
      <c r="HW63" s="22"/>
      <c r="HX63" s="17"/>
      <c r="HY63" s="16"/>
      <c r="HZ63" s="18"/>
      <c r="IA63" s="19"/>
      <c r="IB63" s="20"/>
      <c r="IC63" s="21"/>
      <c r="ID63" s="18"/>
      <c r="IE63" s="17"/>
      <c r="IF63" s="18"/>
      <c r="IG63" s="18"/>
      <c r="IH63" s="18"/>
      <c r="II63" s="17"/>
      <c r="IJ63" s="17"/>
      <c r="IK63" s="17"/>
      <c r="IL63" s="17"/>
      <c r="IM63" s="17"/>
    </row>
    <row r="64" spans="1:247" s="1" customFormat="1" ht="45" customHeight="1">
      <c r="A64" s="30">
        <v>105</v>
      </c>
      <c r="B64" s="45" t="s">
        <v>231</v>
      </c>
      <c r="C64" s="45" t="s">
        <v>38</v>
      </c>
      <c r="D64" s="46"/>
      <c r="E64" s="47">
        <v>69538</v>
      </c>
      <c r="F64" s="48">
        <v>4</v>
      </c>
      <c r="G64" s="45" t="s">
        <v>952</v>
      </c>
      <c r="H64" s="30" t="s">
        <v>953</v>
      </c>
      <c r="I64" s="45" t="s">
        <v>120</v>
      </c>
      <c r="J64" s="45" t="s">
        <v>120</v>
      </c>
      <c r="K64" s="61" t="s">
        <v>5947</v>
      </c>
      <c r="L64" s="17"/>
      <c r="M64" s="16"/>
      <c r="N64" s="18"/>
      <c r="O64" s="19"/>
      <c r="P64" s="20"/>
      <c r="Q64" s="21"/>
      <c r="R64" s="18"/>
      <c r="S64" s="17"/>
      <c r="T64" s="18"/>
      <c r="U64" s="18"/>
      <c r="V64" s="18"/>
      <c r="W64" s="17"/>
      <c r="X64" s="17"/>
      <c r="Y64" s="17"/>
      <c r="Z64" s="17"/>
      <c r="AA64" s="17"/>
      <c r="AB64" s="17"/>
      <c r="AC64" s="17"/>
      <c r="AD64" s="17"/>
      <c r="AE64" s="22"/>
      <c r="AF64" s="17"/>
      <c r="AG64" s="16"/>
      <c r="AH64" s="18"/>
      <c r="AI64" s="19"/>
      <c r="AJ64" s="20"/>
      <c r="AK64" s="21"/>
      <c r="AL64" s="18"/>
      <c r="AM64" s="17"/>
      <c r="AN64" s="18"/>
      <c r="AO64" s="18"/>
      <c r="AP64" s="18"/>
      <c r="AQ64" s="17"/>
      <c r="AR64" s="17"/>
      <c r="AS64" s="17"/>
      <c r="AT64" s="17"/>
      <c r="AU64" s="17"/>
      <c r="AV64" s="17"/>
      <c r="AW64" s="17"/>
      <c r="AX64" s="17"/>
      <c r="AY64" s="22"/>
      <c r="AZ64" s="17"/>
      <c r="BA64" s="16"/>
      <c r="BB64" s="18"/>
      <c r="BC64" s="19"/>
      <c r="BD64" s="20"/>
      <c r="BE64" s="21"/>
      <c r="BF64" s="18"/>
      <c r="BG64" s="17"/>
      <c r="BH64" s="18"/>
      <c r="BI64" s="18"/>
      <c r="BJ64" s="18"/>
      <c r="BK64" s="17"/>
      <c r="BL64" s="17"/>
      <c r="BM64" s="17"/>
      <c r="BN64" s="17"/>
      <c r="BO64" s="17"/>
      <c r="BP64" s="17"/>
      <c r="BQ64" s="17"/>
      <c r="BR64" s="17"/>
      <c r="BS64" s="22"/>
      <c r="BT64" s="17"/>
      <c r="BU64" s="16"/>
      <c r="BV64" s="18"/>
      <c r="BW64" s="19"/>
      <c r="BX64" s="20"/>
      <c r="BY64" s="21"/>
      <c r="BZ64" s="18"/>
      <c r="CA64" s="17"/>
      <c r="CB64" s="18"/>
      <c r="CC64" s="18"/>
      <c r="CD64" s="18"/>
      <c r="CE64" s="17"/>
      <c r="CF64" s="17"/>
      <c r="CG64" s="17"/>
      <c r="CH64" s="17"/>
      <c r="CI64" s="17"/>
      <c r="CJ64" s="17"/>
      <c r="CK64" s="17"/>
      <c r="CL64" s="17"/>
      <c r="CM64" s="22"/>
      <c r="CN64" s="17"/>
      <c r="CO64" s="16"/>
      <c r="CP64" s="18"/>
      <c r="CQ64" s="19"/>
      <c r="CR64" s="20"/>
      <c r="CS64" s="21"/>
      <c r="CT64" s="18"/>
      <c r="CU64" s="17"/>
      <c r="CV64" s="18"/>
      <c r="CW64" s="18"/>
      <c r="CX64" s="18"/>
      <c r="CY64" s="17"/>
      <c r="CZ64" s="17"/>
      <c r="DA64" s="17"/>
      <c r="DB64" s="17"/>
      <c r="DC64" s="17"/>
      <c r="DD64" s="17"/>
      <c r="DE64" s="17"/>
      <c r="DF64" s="17"/>
      <c r="DG64" s="22"/>
      <c r="DH64" s="17"/>
      <c r="DI64" s="16"/>
      <c r="DJ64" s="18"/>
      <c r="DK64" s="19"/>
      <c r="DL64" s="20"/>
      <c r="DM64" s="21"/>
      <c r="DN64" s="18"/>
      <c r="DO64" s="17"/>
      <c r="DP64" s="18"/>
      <c r="DQ64" s="18"/>
      <c r="DR64" s="18"/>
      <c r="DS64" s="17"/>
      <c r="DT64" s="17"/>
      <c r="DU64" s="17"/>
      <c r="DV64" s="17"/>
      <c r="DW64" s="17"/>
      <c r="DX64" s="17"/>
      <c r="DY64" s="17"/>
      <c r="DZ64" s="17"/>
      <c r="EA64" s="22"/>
      <c r="EB64" s="17"/>
      <c r="EC64" s="16"/>
      <c r="ED64" s="18"/>
      <c r="EE64" s="19"/>
      <c r="EF64" s="20"/>
      <c r="EG64" s="21"/>
      <c r="EH64" s="18"/>
      <c r="EI64" s="17"/>
      <c r="EJ64" s="18"/>
      <c r="EK64" s="18"/>
      <c r="EL64" s="18"/>
      <c r="EM64" s="17"/>
      <c r="EN64" s="17"/>
      <c r="EO64" s="17"/>
      <c r="EP64" s="17"/>
      <c r="EQ64" s="17"/>
      <c r="ER64" s="17"/>
      <c r="ES64" s="17"/>
      <c r="ET64" s="17"/>
      <c r="EU64" s="22"/>
      <c r="EV64" s="17"/>
      <c r="EW64" s="16"/>
      <c r="EX64" s="18"/>
      <c r="EY64" s="19"/>
      <c r="EZ64" s="20"/>
      <c r="FA64" s="21"/>
      <c r="FB64" s="18"/>
      <c r="FC64" s="17"/>
      <c r="FD64" s="18"/>
      <c r="FE64" s="18"/>
      <c r="FF64" s="18"/>
      <c r="FG64" s="17"/>
      <c r="FH64" s="17"/>
      <c r="FI64" s="17"/>
      <c r="FJ64" s="17"/>
      <c r="FK64" s="17"/>
      <c r="FL64" s="17"/>
      <c r="FM64" s="17"/>
      <c r="FN64" s="17"/>
      <c r="FO64" s="22"/>
      <c r="FP64" s="17"/>
      <c r="FQ64" s="16"/>
      <c r="FR64" s="18"/>
      <c r="FS64" s="19"/>
      <c r="FT64" s="20"/>
      <c r="FU64" s="21"/>
      <c r="FV64" s="18"/>
      <c r="FW64" s="17"/>
      <c r="FX64" s="18"/>
      <c r="FY64" s="18"/>
      <c r="FZ64" s="18"/>
      <c r="GA64" s="17"/>
      <c r="GB64" s="17"/>
      <c r="GC64" s="17"/>
      <c r="GD64" s="17"/>
      <c r="GE64" s="17"/>
      <c r="GF64" s="17"/>
      <c r="GG64" s="17"/>
      <c r="GH64" s="17"/>
      <c r="GI64" s="22"/>
      <c r="GJ64" s="17"/>
      <c r="GK64" s="16"/>
      <c r="GL64" s="18"/>
      <c r="GM64" s="19"/>
      <c r="GN64" s="20"/>
      <c r="GO64" s="21"/>
      <c r="GP64" s="18"/>
      <c r="GQ64" s="17"/>
      <c r="GR64" s="18"/>
      <c r="GS64" s="18"/>
      <c r="GT64" s="18"/>
      <c r="GU64" s="17"/>
      <c r="GV64" s="17"/>
      <c r="GW64" s="17"/>
      <c r="GX64" s="17"/>
      <c r="GY64" s="17"/>
      <c r="GZ64" s="17"/>
      <c r="HA64" s="17"/>
      <c r="HB64" s="17"/>
      <c r="HC64" s="22"/>
      <c r="HD64" s="17"/>
      <c r="HE64" s="16"/>
      <c r="HF64" s="18"/>
      <c r="HG64" s="19"/>
      <c r="HH64" s="20"/>
      <c r="HI64" s="21"/>
      <c r="HJ64" s="18"/>
      <c r="HK64" s="17"/>
      <c r="HL64" s="18"/>
      <c r="HM64" s="18"/>
      <c r="HN64" s="18"/>
      <c r="HO64" s="17"/>
      <c r="HP64" s="17"/>
      <c r="HQ64" s="17"/>
      <c r="HR64" s="17"/>
      <c r="HS64" s="17"/>
      <c r="HT64" s="17"/>
      <c r="HU64" s="17"/>
      <c r="HV64" s="17"/>
      <c r="HW64" s="22"/>
      <c r="HX64" s="17"/>
      <c r="HY64" s="16"/>
      <c r="HZ64" s="18"/>
      <c r="IA64" s="19"/>
      <c r="IB64" s="20"/>
      <c r="IC64" s="21"/>
      <c r="ID64" s="18"/>
      <c r="IE64" s="17"/>
      <c r="IF64" s="18"/>
      <c r="IG64" s="18"/>
      <c r="IH64" s="18"/>
      <c r="II64" s="17"/>
      <c r="IJ64" s="17"/>
      <c r="IK64" s="17"/>
      <c r="IL64" s="17"/>
      <c r="IM64" s="17"/>
    </row>
    <row r="65" spans="1:11" s="1" customFormat="1" ht="45" customHeight="1">
      <c r="A65" s="30">
        <v>105</v>
      </c>
      <c r="B65" s="45" t="s">
        <v>2085</v>
      </c>
      <c r="C65" s="45" t="s">
        <v>38</v>
      </c>
      <c r="D65" s="46"/>
      <c r="E65" s="47">
        <v>55182</v>
      </c>
      <c r="F65" s="48">
        <v>4</v>
      </c>
      <c r="G65" s="45" t="s">
        <v>5544</v>
      </c>
      <c r="H65" s="30" t="s">
        <v>5545</v>
      </c>
      <c r="I65" s="45" t="s">
        <v>92</v>
      </c>
      <c r="J65" s="45" t="s">
        <v>444</v>
      </c>
      <c r="K65" s="61" t="s">
        <v>5948</v>
      </c>
    </row>
    <row r="66" spans="1:11" s="1" customFormat="1" ht="45" customHeight="1">
      <c r="A66" s="30">
        <v>105</v>
      </c>
      <c r="B66" s="49" t="s">
        <v>224</v>
      </c>
      <c r="C66" s="45" t="s">
        <v>38</v>
      </c>
      <c r="D66" s="46"/>
      <c r="E66" s="47">
        <v>91062</v>
      </c>
      <c r="F66" s="48">
        <v>4</v>
      </c>
      <c r="G66" s="53" t="s">
        <v>5927</v>
      </c>
      <c r="H66" s="30" t="s">
        <v>973</v>
      </c>
      <c r="I66" s="45" t="s">
        <v>974</v>
      </c>
      <c r="J66" s="45" t="s">
        <v>5928</v>
      </c>
      <c r="K66" s="61" t="s">
        <v>5949</v>
      </c>
    </row>
    <row r="67" spans="1:247" s="2" customFormat="1" ht="45" customHeight="1">
      <c r="A67" s="30">
        <v>105</v>
      </c>
      <c r="B67" s="45" t="s">
        <v>5542</v>
      </c>
      <c r="C67" s="45" t="s">
        <v>38</v>
      </c>
      <c r="D67" s="46"/>
      <c r="E67" s="47">
        <v>93336</v>
      </c>
      <c r="F67" s="48">
        <v>4</v>
      </c>
      <c r="G67" s="49" t="s">
        <v>5543</v>
      </c>
      <c r="H67" s="30" t="s">
        <v>1478</v>
      </c>
      <c r="I67" s="45" t="s">
        <v>96</v>
      </c>
      <c r="J67" s="45" t="s">
        <v>97</v>
      </c>
      <c r="K67" s="61" t="s">
        <v>5950</v>
      </c>
      <c r="L67" s="17"/>
      <c r="M67" s="16"/>
      <c r="N67" s="18"/>
      <c r="O67" s="19"/>
      <c r="P67" s="20"/>
      <c r="Q67" s="21"/>
      <c r="R67" s="18"/>
      <c r="S67" s="17"/>
      <c r="T67" s="18"/>
      <c r="U67" s="18"/>
      <c r="V67" s="18"/>
      <c r="W67" s="17"/>
      <c r="X67" s="17"/>
      <c r="Y67" s="17"/>
      <c r="Z67" s="17"/>
      <c r="AA67" s="17"/>
      <c r="AB67" s="17"/>
      <c r="AC67" s="17"/>
      <c r="AD67" s="17"/>
      <c r="AE67" s="22"/>
      <c r="AF67" s="17"/>
      <c r="AG67" s="16"/>
      <c r="AH67" s="18"/>
      <c r="AI67" s="19"/>
      <c r="AJ67" s="20"/>
      <c r="AK67" s="21"/>
      <c r="AL67" s="18"/>
      <c r="AM67" s="17"/>
      <c r="AN67" s="18"/>
      <c r="AO67" s="18"/>
      <c r="AP67" s="18"/>
      <c r="AQ67" s="17"/>
      <c r="AR67" s="17"/>
      <c r="AS67" s="17"/>
      <c r="AT67" s="17"/>
      <c r="AU67" s="17"/>
      <c r="AV67" s="17"/>
      <c r="AW67" s="17"/>
      <c r="AX67" s="17"/>
      <c r="AY67" s="22"/>
      <c r="AZ67" s="17"/>
      <c r="BA67" s="16"/>
      <c r="BB67" s="18"/>
      <c r="BC67" s="19"/>
      <c r="BD67" s="20"/>
      <c r="BE67" s="21"/>
      <c r="BF67" s="18"/>
      <c r="BG67" s="17"/>
      <c r="BH67" s="18"/>
      <c r="BI67" s="18"/>
      <c r="BJ67" s="18"/>
      <c r="BK67" s="17"/>
      <c r="BL67" s="17"/>
      <c r="BM67" s="17"/>
      <c r="BN67" s="17"/>
      <c r="BO67" s="17"/>
      <c r="BP67" s="17"/>
      <c r="BQ67" s="17"/>
      <c r="BR67" s="17"/>
      <c r="BS67" s="22"/>
      <c r="BT67" s="17"/>
      <c r="BU67" s="16"/>
      <c r="BV67" s="18"/>
      <c r="BW67" s="19"/>
      <c r="BX67" s="20"/>
      <c r="BY67" s="21"/>
      <c r="BZ67" s="18"/>
      <c r="CA67" s="17"/>
      <c r="CB67" s="18"/>
      <c r="CC67" s="18"/>
      <c r="CD67" s="18"/>
      <c r="CE67" s="17"/>
      <c r="CF67" s="17"/>
      <c r="CG67" s="17"/>
      <c r="CH67" s="17"/>
      <c r="CI67" s="17"/>
      <c r="CJ67" s="17"/>
      <c r="CK67" s="17"/>
      <c r="CL67" s="17"/>
      <c r="CM67" s="22"/>
      <c r="CN67" s="17"/>
      <c r="CO67" s="16"/>
      <c r="CP67" s="18"/>
      <c r="CQ67" s="19"/>
      <c r="CR67" s="20"/>
      <c r="CS67" s="21"/>
      <c r="CT67" s="18"/>
      <c r="CU67" s="17"/>
      <c r="CV67" s="18"/>
      <c r="CW67" s="18"/>
      <c r="CX67" s="18"/>
      <c r="CY67" s="17"/>
      <c r="CZ67" s="17"/>
      <c r="DA67" s="25"/>
      <c r="DB67" s="7"/>
      <c r="DC67" s="7"/>
      <c r="DD67" s="7"/>
      <c r="DE67" s="7"/>
      <c r="DF67" s="7"/>
      <c r="DG67" s="11"/>
      <c r="DH67" s="7"/>
      <c r="DI67" s="5"/>
      <c r="DJ67" s="8"/>
      <c r="DK67" s="13"/>
      <c r="DL67" s="9"/>
      <c r="DM67" s="10"/>
      <c r="DN67" s="8"/>
      <c r="DO67" s="7"/>
      <c r="DP67" s="8"/>
      <c r="DQ67" s="8"/>
      <c r="DR67" s="8"/>
      <c r="DS67" s="7"/>
      <c r="DT67" s="7"/>
      <c r="DU67" s="7"/>
      <c r="DV67" s="7"/>
      <c r="DW67" s="7"/>
      <c r="DX67" s="7"/>
      <c r="DY67" s="7"/>
      <c r="DZ67" s="7"/>
      <c r="EA67" s="11"/>
      <c r="EB67" s="7"/>
      <c r="EC67" s="5"/>
      <c r="ED67" s="8"/>
      <c r="EE67" s="13"/>
      <c r="EF67" s="9"/>
      <c r="EG67" s="10"/>
      <c r="EH67" s="8"/>
      <c r="EI67" s="7"/>
      <c r="EJ67" s="8"/>
      <c r="EK67" s="8"/>
      <c r="EL67" s="8"/>
      <c r="EM67" s="7"/>
      <c r="EN67" s="7"/>
      <c r="EO67" s="7"/>
      <c r="EP67" s="7"/>
      <c r="EQ67" s="7"/>
      <c r="ER67" s="7"/>
      <c r="ES67" s="7"/>
      <c r="ET67" s="7"/>
      <c r="EU67" s="11"/>
      <c r="EV67" s="7"/>
      <c r="EW67" s="5"/>
      <c r="EX67" s="8"/>
      <c r="EY67" s="13"/>
      <c r="EZ67" s="9"/>
      <c r="FA67" s="10"/>
      <c r="FB67" s="8"/>
      <c r="FC67" s="7"/>
      <c r="FD67" s="8"/>
      <c r="FE67" s="8"/>
      <c r="FF67" s="8"/>
      <c r="FG67" s="7"/>
      <c r="FH67" s="7"/>
      <c r="FI67" s="7"/>
      <c r="FJ67" s="7"/>
      <c r="FK67" s="7"/>
      <c r="FL67" s="7"/>
      <c r="FM67" s="7"/>
      <c r="FN67" s="7"/>
      <c r="FO67" s="11"/>
      <c r="FP67" s="7"/>
      <c r="FQ67" s="5"/>
      <c r="FR67" s="8"/>
      <c r="FS67" s="13"/>
      <c r="FT67" s="9"/>
      <c r="FU67" s="10"/>
      <c r="FV67" s="8"/>
      <c r="FW67" s="7"/>
      <c r="FX67" s="8"/>
      <c r="FY67" s="8"/>
      <c r="FZ67" s="8"/>
      <c r="GA67" s="7"/>
      <c r="GB67" s="7"/>
      <c r="GC67" s="7"/>
      <c r="GD67" s="7"/>
      <c r="GE67" s="7"/>
      <c r="GF67" s="7"/>
      <c r="GG67" s="7"/>
      <c r="GH67" s="7"/>
      <c r="GI67" s="11"/>
      <c r="GJ67" s="7"/>
      <c r="GK67" s="5"/>
      <c r="GL67" s="8"/>
      <c r="GM67" s="13"/>
      <c r="GN67" s="9"/>
      <c r="GO67" s="10"/>
      <c r="GP67" s="8"/>
      <c r="GQ67" s="7"/>
      <c r="GR67" s="8"/>
      <c r="GS67" s="8"/>
      <c r="GT67" s="8"/>
      <c r="GU67" s="7"/>
      <c r="GV67" s="7"/>
      <c r="GW67" s="7"/>
      <c r="GX67" s="7"/>
      <c r="GY67" s="7"/>
      <c r="GZ67" s="7"/>
      <c r="HA67" s="7"/>
      <c r="HB67" s="7"/>
      <c r="HC67" s="11"/>
      <c r="HD67" s="7"/>
      <c r="HE67" s="5"/>
      <c r="HF67" s="8"/>
      <c r="HG67" s="13"/>
      <c r="HH67" s="9"/>
      <c r="HI67" s="10"/>
      <c r="HJ67" s="8"/>
      <c r="HK67" s="7"/>
      <c r="HL67" s="8"/>
      <c r="HM67" s="8"/>
      <c r="HN67" s="8"/>
      <c r="HO67" s="7"/>
      <c r="HP67" s="7"/>
      <c r="HQ67" s="7"/>
      <c r="HR67" s="7"/>
      <c r="HS67" s="7"/>
      <c r="HT67" s="7"/>
      <c r="HU67" s="7"/>
      <c r="HV67" s="7"/>
      <c r="HW67" s="11"/>
      <c r="HX67" s="7"/>
      <c r="HY67" s="5"/>
      <c r="HZ67" s="8"/>
      <c r="IA67" s="13"/>
      <c r="IB67" s="9"/>
      <c r="IC67" s="10"/>
      <c r="ID67" s="8"/>
      <c r="IE67" s="7"/>
      <c r="IF67" s="8"/>
      <c r="IG67" s="8"/>
      <c r="IH67" s="8"/>
      <c r="II67" s="7"/>
      <c r="IJ67" s="7"/>
      <c r="IK67" s="7"/>
      <c r="IL67" s="7"/>
      <c r="IM67" s="7"/>
    </row>
    <row r="68" spans="1:247" s="1" customFormat="1" ht="45" customHeight="1">
      <c r="A68" s="30">
        <v>105</v>
      </c>
      <c r="B68" s="45" t="s">
        <v>252</v>
      </c>
      <c r="C68" s="45" t="s">
        <v>38</v>
      </c>
      <c r="D68" s="46"/>
      <c r="E68" s="47">
        <v>162757</v>
      </c>
      <c r="F68" s="48">
        <v>4</v>
      </c>
      <c r="G68" s="45" t="s">
        <v>5546</v>
      </c>
      <c r="H68" s="30" t="s">
        <v>5547</v>
      </c>
      <c r="I68" s="45" t="s">
        <v>5548</v>
      </c>
      <c r="J68" s="45" t="s">
        <v>5549</v>
      </c>
      <c r="K68" s="61" t="s">
        <v>5951</v>
      </c>
      <c r="L68" s="17"/>
      <c r="M68" s="16"/>
      <c r="N68" s="18"/>
      <c r="O68" s="19"/>
      <c r="P68" s="20"/>
      <c r="Q68" s="21"/>
      <c r="R68" s="18"/>
      <c r="S68" s="17"/>
      <c r="T68" s="18"/>
      <c r="U68" s="18"/>
      <c r="V68" s="18"/>
      <c r="W68" s="17"/>
      <c r="X68" s="17"/>
      <c r="Y68" s="17"/>
      <c r="Z68" s="17"/>
      <c r="AA68" s="17"/>
      <c r="AB68" s="17"/>
      <c r="AC68" s="17"/>
      <c r="AD68" s="17"/>
      <c r="AE68" s="22"/>
      <c r="AF68" s="17"/>
      <c r="AG68" s="16"/>
      <c r="AH68" s="18"/>
      <c r="AI68" s="19"/>
      <c r="AJ68" s="20"/>
      <c r="AK68" s="21"/>
      <c r="AL68" s="18"/>
      <c r="AM68" s="17"/>
      <c r="AN68" s="18"/>
      <c r="AO68" s="18"/>
      <c r="AP68" s="18"/>
      <c r="AQ68" s="17"/>
      <c r="AR68" s="17"/>
      <c r="AS68" s="17"/>
      <c r="AT68" s="17"/>
      <c r="AU68" s="17"/>
      <c r="AV68" s="17"/>
      <c r="AW68" s="17"/>
      <c r="AX68" s="17"/>
      <c r="AY68" s="22"/>
      <c r="AZ68" s="17"/>
      <c r="BA68" s="16"/>
      <c r="BB68" s="18"/>
      <c r="BC68" s="19"/>
      <c r="BD68" s="20"/>
      <c r="BE68" s="21"/>
      <c r="BF68" s="18"/>
      <c r="BG68" s="17"/>
      <c r="BH68" s="18"/>
      <c r="BI68" s="18"/>
      <c r="BJ68" s="18"/>
      <c r="BK68" s="17"/>
      <c r="BL68" s="17"/>
      <c r="BM68" s="17"/>
      <c r="BN68" s="17"/>
      <c r="BO68" s="17"/>
      <c r="BP68" s="17"/>
      <c r="BQ68" s="17"/>
      <c r="BR68" s="17"/>
      <c r="BS68" s="22"/>
      <c r="BT68" s="17"/>
      <c r="BU68" s="16"/>
      <c r="BV68" s="18"/>
      <c r="BW68" s="19"/>
      <c r="BX68" s="20"/>
      <c r="BY68" s="21"/>
      <c r="BZ68" s="18"/>
      <c r="CA68" s="17"/>
      <c r="CB68" s="18"/>
      <c r="CC68" s="18"/>
      <c r="CD68" s="18"/>
      <c r="CE68" s="17"/>
      <c r="CF68" s="17"/>
      <c r="CG68" s="17"/>
      <c r="CH68" s="17"/>
      <c r="CI68" s="17"/>
      <c r="CJ68" s="17"/>
      <c r="CK68" s="17"/>
      <c r="CL68" s="17"/>
      <c r="CM68" s="22"/>
      <c r="CN68" s="17"/>
      <c r="CO68" s="16"/>
      <c r="CP68" s="18"/>
      <c r="CQ68" s="19"/>
      <c r="CR68" s="20"/>
      <c r="CS68" s="21"/>
      <c r="CT68" s="18"/>
      <c r="CU68" s="17"/>
      <c r="CV68" s="18"/>
      <c r="CW68" s="18"/>
      <c r="CX68" s="18"/>
      <c r="CY68" s="17"/>
      <c r="CZ68" s="17"/>
      <c r="DA68" s="25"/>
      <c r="DB68" s="7"/>
      <c r="DC68" s="7"/>
      <c r="DD68" s="7"/>
      <c r="DE68" s="7"/>
      <c r="DF68" s="7"/>
      <c r="DG68" s="11"/>
      <c r="DH68" s="7"/>
      <c r="DI68" s="5"/>
      <c r="DJ68" s="8"/>
      <c r="DK68" s="13"/>
      <c r="DL68" s="9"/>
      <c r="DM68" s="10"/>
      <c r="DN68" s="8"/>
      <c r="DO68" s="7"/>
      <c r="DP68" s="8"/>
      <c r="DQ68" s="8"/>
      <c r="DR68" s="8"/>
      <c r="DS68" s="7"/>
      <c r="DT68" s="7"/>
      <c r="DU68" s="7"/>
      <c r="DV68" s="7"/>
      <c r="DW68" s="7"/>
      <c r="DX68" s="7"/>
      <c r="DY68" s="7"/>
      <c r="DZ68" s="7"/>
      <c r="EA68" s="11"/>
      <c r="EB68" s="7"/>
      <c r="EC68" s="5"/>
      <c r="ED68" s="8"/>
      <c r="EE68" s="13"/>
      <c r="EF68" s="9"/>
      <c r="EG68" s="10"/>
      <c r="EH68" s="8"/>
      <c r="EI68" s="7"/>
      <c r="EJ68" s="8"/>
      <c r="EK68" s="8"/>
      <c r="EL68" s="8"/>
      <c r="EM68" s="7"/>
      <c r="EN68" s="7"/>
      <c r="EO68" s="7"/>
      <c r="EP68" s="7"/>
      <c r="EQ68" s="7"/>
      <c r="ER68" s="7"/>
      <c r="ES68" s="7"/>
      <c r="ET68" s="7"/>
      <c r="EU68" s="11"/>
      <c r="EV68" s="7"/>
      <c r="EW68" s="5"/>
      <c r="EX68" s="8"/>
      <c r="EY68" s="13"/>
      <c r="EZ68" s="9"/>
      <c r="FA68" s="10"/>
      <c r="FB68" s="8"/>
      <c r="FC68" s="7"/>
      <c r="FD68" s="8"/>
      <c r="FE68" s="8"/>
      <c r="FF68" s="8"/>
      <c r="FG68" s="7"/>
      <c r="FH68" s="7"/>
      <c r="FI68" s="7"/>
      <c r="FJ68" s="7"/>
      <c r="FK68" s="7"/>
      <c r="FL68" s="7"/>
      <c r="FM68" s="7"/>
      <c r="FN68" s="7"/>
      <c r="FO68" s="11"/>
      <c r="FP68" s="7"/>
      <c r="FQ68" s="5"/>
      <c r="FR68" s="8"/>
      <c r="FS68" s="13"/>
      <c r="FT68" s="9"/>
      <c r="FU68" s="10"/>
      <c r="FV68" s="8"/>
      <c r="FW68" s="7"/>
      <c r="FX68" s="8"/>
      <c r="FY68" s="8"/>
      <c r="FZ68" s="8"/>
      <c r="GA68" s="7"/>
      <c r="GB68" s="7"/>
      <c r="GC68" s="7"/>
      <c r="GD68" s="7"/>
      <c r="GE68" s="7"/>
      <c r="GF68" s="7"/>
      <c r="GG68" s="7"/>
      <c r="GH68" s="7"/>
      <c r="GI68" s="11"/>
      <c r="GJ68" s="7"/>
      <c r="GK68" s="5"/>
      <c r="GL68" s="8"/>
      <c r="GM68" s="13"/>
      <c r="GN68" s="9"/>
      <c r="GO68" s="10"/>
      <c r="GP68" s="8"/>
      <c r="GQ68" s="7"/>
      <c r="GR68" s="8"/>
      <c r="GS68" s="8"/>
      <c r="GT68" s="8"/>
      <c r="GU68" s="7"/>
      <c r="GV68" s="7"/>
      <c r="GW68" s="7"/>
      <c r="GX68" s="7"/>
      <c r="GY68" s="7"/>
      <c r="GZ68" s="7"/>
      <c r="HA68" s="7"/>
      <c r="HB68" s="7"/>
      <c r="HC68" s="11"/>
      <c r="HD68" s="7"/>
      <c r="HE68" s="5"/>
      <c r="HF68" s="8"/>
      <c r="HG68" s="13"/>
      <c r="HH68" s="9"/>
      <c r="HI68" s="10"/>
      <c r="HJ68" s="8"/>
      <c r="HK68" s="7"/>
      <c r="HL68" s="8"/>
      <c r="HM68" s="8"/>
      <c r="HN68" s="8"/>
      <c r="HO68" s="7"/>
      <c r="HP68" s="7"/>
      <c r="HQ68" s="7"/>
      <c r="HR68" s="7"/>
      <c r="HS68" s="7"/>
      <c r="HT68" s="7"/>
      <c r="HU68" s="7"/>
      <c r="HV68" s="7"/>
      <c r="HW68" s="11"/>
      <c r="HX68" s="7"/>
      <c r="HY68" s="5"/>
      <c r="HZ68" s="8"/>
      <c r="IA68" s="13"/>
      <c r="IB68" s="9"/>
      <c r="IC68" s="10"/>
      <c r="ID68" s="8"/>
      <c r="IE68" s="7"/>
      <c r="IF68" s="8"/>
      <c r="IG68" s="8"/>
      <c r="IH68" s="8"/>
      <c r="II68" s="7"/>
      <c r="IJ68" s="7"/>
      <c r="IK68" s="7"/>
      <c r="IL68" s="7"/>
      <c r="IM68" s="7"/>
    </row>
    <row r="69" spans="1:247" s="1" customFormat="1" ht="45" customHeight="1">
      <c r="A69" s="30">
        <v>105</v>
      </c>
      <c r="B69" s="45" t="s">
        <v>225</v>
      </c>
      <c r="C69" s="45" t="s">
        <v>38</v>
      </c>
      <c r="D69" s="46"/>
      <c r="E69" s="47">
        <v>87283</v>
      </c>
      <c r="F69" s="48">
        <v>4</v>
      </c>
      <c r="G69" s="45" t="s">
        <v>959</v>
      </c>
      <c r="H69" s="30" t="s">
        <v>960</v>
      </c>
      <c r="I69" s="45" t="s">
        <v>107</v>
      </c>
      <c r="J69" s="45" t="s">
        <v>647</v>
      </c>
      <c r="K69" s="61" t="s">
        <v>5952</v>
      </c>
      <c r="L69" s="17"/>
      <c r="M69" s="16"/>
      <c r="N69" s="18"/>
      <c r="O69" s="19"/>
      <c r="P69" s="20"/>
      <c r="Q69" s="21"/>
      <c r="R69" s="18"/>
      <c r="S69" s="17"/>
      <c r="T69" s="18"/>
      <c r="U69" s="18"/>
      <c r="V69" s="18"/>
      <c r="W69" s="17"/>
      <c r="X69" s="17"/>
      <c r="Y69" s="17"/>
      <c r="Z69" s="17"/>
      <c r="AA69" s="17"/>
      <c r="AB69" s="17"/>
      <c r="AC69" s="17"/>
      <c r="AD69" s="17"/>
      <c r="AE69" s="22"/>
      <c r="AF69" s="17"/>
      <c r="AG69" s="16"/>
      <c r="AH69" s="18"/>
      <c r="AI69" s="19"/>
      <c r="AJ69" s="20"/>
      <c r="AK69" s="21"/>
      <c r="AL69" s="18"/>
      <c r="AM69" s="17"/>
      <c r="AN69" s="18"/>
      <c r="AO69" s="18"/>
      <c r="AP69" s="18"/>
      <c r="AQ69" s="17"/>
      <c r="AR69" s="17"/>
      <c r="AS69" s="17"/>
      <c r="AT69" s="17"/>
      <c r="AU69" s="17"/>
      <c r="AV69" s="17"/>
      <c r="AW69" s="17"/>
      <c r="AX69" s="17"/>
      <c r="AY69" s="22"/>
      <c r="AZ69" s="17"/>
      <c r="BA69" s="16"/>
      <c r="BB69" s="18"/>
      <c r="BC69" s="19"/>
      <c r="BD69" s="20"/>
      <c r="BE69" s="21"/>
      <c r="BF69" s="18"/>
      <c r="BG69" s="17"/>
      <c r="BH69" s="18"/>
      <c r="BI69" s="18"/>
      <c r="BJ69" s="18"/>
      <c r="BK69" s="17"/>
      <c r="BL69" s="17"/>
      <c r="BM69" s="17"/>
      <c r="BN69" s="17"/>
      <c r="BO69" s="17"/>
      <c r="BP69" s="17"/>
      <c r="BQ69" s="17"/>
      <c r="BR69" s="17"/>
      <c r="BS69" s="22"/>
      <c r="BT69" s="17"/>
      <c r="BU69" s="16"/>
      <c r="BV69" s="18"/>
      <c r="BW69" s="19"/>
      <c r="BX69" s="20"/>
      <c r="BY69" s="21"/>
      <c r="BZ69" s="18"/>
      <c r="CA69" s="17"/>
      <c r="CB69" s="18"/>
      <c r="CC69" s="18"/>
      <c r="CD69" s="18"/>
      <c r="CE69" s="17"/>
      <c r="CF69" s="17"/>
      <c r="CG69" s="17"/>
      <c r="CH69" s="17"/>
      <c r="CI69" s="17"/>
      <c r="CJ69" s="17"/>
      <c r="CK69" s="17"/>
      <c r="CL69" s="17"/>
      <c r="CM69" s="22"/>
      <c r="CN69" s="17"/>
      <c r="CO69" s="16"/>
      <c r="CP69" s="18"/>
      <c r="CQ69" s="19"/>
      <c r="CR69" s="20"/>
      <c r="CS69" s="21"/>
      <c r="CT69" s="18"/>
      <c r="CU69" s="17"/>
      <c r="CV69" s="18"/>
      <c r="CW69" s="18"/>
      <c r="CX69" s="18"/>
      <c r="CY69" s="17"/>
      <c r="CZ69" s="17"/>
      <c r="DA69" s="25"/>
      <c r="DB69" s="7"/>
      <c r="DC69" s="7"/>
      <c r="DD69" s="7"/>
      <c r="DE69" s="7"/>
      <c r="DF69" s="7"/>
      <c r="DG69" s="11"/>
      <c r="DH69" s="7"/>
      <c r="DI69" s="5"/>
      <c r="DJ69" s="8"/>
      <c r="DK69" s="13"/>
      <c r="DL69" s="9"/>
      <c r="DM69" s="10"/>
      <c r="DN69" s="8"/>
      <c r="DO69" s="7"/>
      <c r="DP69" s="8"/>
      <c r="DQ69" s="8"/>
      <c r="DR69" s="8"/>
      <c r="DS69" s="7"/>
      <c r="DT69" s="7"/>
      <c r="DU69" s="7"/>
      <c r="DV69" s="7"/>
      <c r="DW69" s="7"/>
      <c r="DX69" s="7"/>
      <c r="DY69" s="7"/>
      <c r="DZ69" s="7"/>
      <c r="EA69" s="11"/>
      <c r="EB69" s="7"/>
      <c r="EC69" s="5"/>
      <c r="ED69" s="8"/>
      <c r="EE69" s="13"/>
      <c r="EF69" s="9"/>
      <c r="EG69" s="10"/>
      <c r="EH69" s="8"/>
      <c r="EI69" s="7"/>
      <c r="EJ69" s="8"/>
      <c r="EK69" s="8"/>
      <c r="EL69" s="8"/>
      <c r="EM69" s="7"/>
      <c r="EN69" s="7"/>
      <c r="EO69" s="7"/>
      <c r="EP69" s="7"/>
      <c r="EQ69" s="7"/>
      <c r="ER69" s="7"/>
      <c r="ES69" s="7"/>
      <c r="ET69" s="7"/>
      <c r="EU69" s="11"/>
      <c r="EV69" s="7"/>
      <c r="EW69" s="5"/>
      <c r="EX69" s="8"/>
      <c r="EY69" s="13"/>
      <c r="EZ69" s="9"/>
      <c r="FA69" s="10"/>
      <c r="FB69" s="8"/>
      <c r="FC69" s="7"/>
      <c r="FD69" s="8"/>
      <c r="FE69" s="8"/>
      <c r="FF69" s="8"/>
      <c r="FG69" s="7"/>
      <c r="FH69" s="7"/>
      <c r="FI69" s="7"/>
      <c r="FJ69" s="7"/>
      <c r="FK69" s="7"/>
      <c r="FL69" s="7"/>
      <c r="FM69" s="7"/>
      <c r="FN69" s="7"/>
      <c r="FO69" s="11"/>
      <c r="FP69" s="7"/>
      <c r="FQ69" s="5"/>
      <c r="FR69" s="8"/>
      <c r="FS69" s="13"/>
      <c r="FT69" s="9"/>
      <c r="FU69" s="10"/>
      <c r="FV69" s="8"/>
      <c r="FW69" s="7"/>
      <c r="FX69" s="8"/>
      <c r="FY69" s="8"/>
      <c r="FZ69" s="8"/>
      <c r="GA69" s="7"/>
      <c r="GB69" s="7"/>
      <c r="GC69" s="7"/>
      <c r="GD69" s="7"/>
      <c r="GE69" s="7"/>
      <c r="GF69" s="7"/>
      <c r="GG69" s="7"/>
      <c r="GH69" s="7"/>
      <c r="GI69" s="11"/>
      <c r="GJ69" s="7"/>
      <c r="GK69" s="5"/>
      <c r="GL69" s="8"/>
      <c r="GM69" s="13"/>
      <c r="GN69" s="9"/>
      <c r="GO69" s="10"/>
      <c r="GP69" s="8"/>
      <c r="GQ69" s="7"/>
      <c r="GR69" s="8"/>
      <c r="GS69" s="8"/>
      <c r="GT69" s="8"/>
      <c r="GU69" s="7"/>
      <c r="GV69" s="7"/>
      <c r="GW69" s="7"/>
      <c r="GX69" s="7"/>
      <c r="GY69" s="7"/>
      <c r="GZ69" s="7"/>
      <c r="HA69" s="7"/>
      <c r="HB69" s="7"/>
      <c r="HC69" s="11"/>
      <c r="HD69" s="7"/>
      <c r="HE69" s="5"/>
      <c r="HF69" s="8"/>
      <c r="HG69" s="13"/>
      <c r="HH69" s="9"/>
      <c r="HI69" s="10"/>
      <c r="HJ69" s="8"/>
      <c r="HK69" s="7"/>
      <c r="HL69" s="8"/>
      <c r="HM69" s="8"/>
      <c r="HN69" s="8"/>
      <c r="HO69" s="7"/>
      <c r="HP69" s="7"/>
      <c r="HQ69" s="7"/>
      <c r="HR69" s="7"/>
      <c r="HS69" s="7"/>
      <c r="HT69" s="7"/>
      <c r="HU69" s="7"/>
      <c r="HV69" s="7"/>
      <c r="HW69" s="11"/>
      <c r="HX69" s="7"/>
      <c r="HY69" s="5"/>
      <c r="HZ69" s="8"/>
      <c r="IA69" s="13"/>
      <c r="IB69" s="9"/>
      <c r="IC69" s="10"/>
      <c r="ID69" s="8"/>
      <c r="IE69" s="7"/>
      <c r="IF69" s="8"/>
      <c r="IG69" s="8"/>
      <c r="IH69" s="8"/>
      <c r="II69" s="7"/>
      <c r="IJ69" s="7"/>
      <c r="IK69" s="7"/>
      <c r="IL69" s="7"/>
      <c r="IM69" s="7"/>
    </row>
    <row r="70" spans="1:247" ht="45" customHeight="1">
      <c r="A70" s="30">
        <v>105</v>
      </c>
      <c r="B70" s="45" t="s">
        <v>956</v>
      </c>
      <c r="C70" s="45" t="s">
        <v>38</v>
      </c>
      <c r="D70" s="46"/>
      <c r="E70" s="47">
        <v>114188</v>
      </c>
      <c r="F70" s="48">
        <v>4</v>
      </c>
      <c r="G70" s="45" t="s">
        <v>957</v>
      </c>
      <c r="H70" s="30" t="s">
        <v>958</v>
      </c>
      <c r="I70" s="45" t="s">
        <v>107</v>
      </c>
      <c r="J70" s="45" t="s">
        <v>647</v>
      </c>
      <c r="K70" s="61" t="s">
        <v>5953</v>
      </c>
      <c r="L70" s="17"/>
      <c r="M70" s="16"/>
      <c r="N70" s="18"/>
      <c r="O70" s="19"/>
      <c r="P70" s="20"/>
      <c r="Q70" s="21"/>
      <c r="R70" s="18"/>
      <c r="S70" s="17"/>
      <c r="T70" s="18"/>
      <c r="U70" s="18"/>
      <c r="V70" s="18"/>
      <c r="W70" s="17"/>
      <c r="X70" s="17"/>
      <c r="Y70" s="17"/>
      <c r="Z70" s="17"/>
      <c r="AA70" s="17"/>
      <c r="AB70" s="17"/>
      <c r="AC70" s="17"/>
      <c r="AD70" s="17"/>
      <c r="AE70" s="22"/>
      <c r="AF70" s="17"/>
      <c r="AG70" s="16"/>
      <c r="AH70" s="18"/>
      <c r="AI70" s="19"/>
      <c r="AJ70" s="20"/>
      <c r="AK70" s="21"/>
      <c r="AL70" s="18"/>
      <c r="AM70" s="17"/>
      <c r="AN70" s="18"/>
      <c r="AO70" s="18"/>
      <c r="AP70" s="18"/>
      <c r="AQ70" s="17"/>
      <c r="AR70" s="17"/>
      <c r="AS70" s="17"/>
      <c r="AT70" s="17"/>
      <c r="AU70" s="17"/>
      <c r="AV70" s="17"/>
      <c r="AW70" s="17"/>
      <c r="AX70" s="17"/>
      <c r="AY70" s="22"/>
      <c r="AZ70" s="17"/>
      <c r="BA70" s="16"/>
      <c r="BB70" s="18"/>
      <c r="BC70" s="19"/>
      <c r="BD70" s="20"/>
      <c r="BE70" s="21"/>
      <c r="BF70" s="18"/>
      <c r="BG70" s="17"/>
      <c r="BH70" s="18"/>
      <c r="BI70" s="18"/>
      <c r="BJ70" s="18"/>
      <c r="BK70" s="17"/>
      <c r="BL70" s="17"/>
      <c r="BM70" s="17"/>
      <c r="BN70" s="17"/>
      <c r="BO70" s="17"/>
      <c r="BP70" s="17"/>
      <c r="BQ70" s="17"/>
      <c r="BR70" s="17"/>
      <c r="BS70" s="22"/>
      <c r="BT70" s="17"/>
      <c r="BU70" s="16"/>
      <c r="BV70" s="18"/>
      <c r="BW70" s="19"/>
      <c r="BX70" s="20"/>
      <c r="BY70" s="21"/>
      <c r="BZ70" s="18"/>
      <c r="CA70" s="17"/>
      <c r="CB70" s="18"/>
      <c r="CC70" s="18"/>
      <c r="CD70" s="18"/>
      <c r="CE70" s="17"/>
      <c r="CF70" s="17"/>
      <c r="CG70" s="17"/>
      <c r="CH70" s="17"/>
      <c r="CI70" s="17"/>
      <c r="CJ70" s="17"/>
      <c r="CK70" s="17"/>
      <c r="CL70" s="17"/>
      <c r="CM70" s="22"/>
      <c r="CN70" s="17"/>
      <c r="CO70" s="16"/>
      <c r="CP70" s="18"/>
      <c r="CQ70" s="19"/>
      <c r="CR70" s="20"/>
      <c r="CS70" s="21"/>
      <c r="CT70" s="18"/>
      <c r="CU70" s="17"/>
      <c r="CV70" s="18"/>
      <c r="CW70" s="18"/>
      <c r="CX70" s="18"/>
      <c r="CY70" s="17"/>
      <c r="CZ70" s="17"/>
      <c r="DA70" s="25"/>
      <c r="DB70" s="7"/>
      <c r="DC70" s="7"/>
      <c r="DD70" s="7"/>
      <c r="DE70" s="7"/>
      <c r="DF70" s="7"/>
      <c r="DG70" s="11"/>
      <c r="DH70" s="7"/>
      <c r="DI70" s="5"/>
      <c r="DJ70" s="8"/>
      <c r="DK70" s="13"/>
      <c r="DL70" s="9"/>
      <c r="DM70" s="10"/>
      <c r="DN70" s="8"/>
      <c r="DO70" s="7"/>
      <c r="DP70" s="8"/>
      <c r="DQ70" s="8"/>
      <c r="DR70" s="8"/>
      <c r="DS70" s="7"/>
      <c r="DT70" s="7"/>
      <c r="DU70" s="7"/>
      <c r="DV70" s="7"/>
      <c r="DW70" s="7"/>
      <c r="DX70" s="7"/>
      <c r="DY70" s="7"/>
      <c r="DZ70" s="7"/>
      <c r="EA70" s="11"/>
      <c r="EB70" s="7"/>
      <c r="EC70" s="5"/>
      <c r="ED70" s="8"/>
      <c r="EE70" s="13"/>
      <c r="EF70" s="9"/>
      <c r="EG70" s="10"/>
      <c r="EH70" s="8"/>
      <c r="EI70" s="7"/>
      <c r="EJ70" s="8"/>
      <c r="EK70" s="8"/>
      <c r="EL70" s="8"/>
      <c r="EM70" s="7"/>
      <c r="EN70" s="7"/>
      <c r="EO70" s="7"/>
      <c r="EP70" s="7"/>
      <c r="EQ70" s="7"/>
      <c r="ER70" s="7"/>
      <c r="ES70" s="7"/>
      <c r="ET70" s="7"/>
      <c r="EU70" s="11"/>
      <c r="EV70" s="7"/>
      <c r="EW70" s="5"/>
      <c r="EX70" s="8"/>
      <c r="EY70" s="13"/>
      <c r="EZ70" s="9"/>
      <c r="FA70" s="10"/>
      <c r="FB70" s="8"/>
      <c r="FC70" s="7"/>
      <c r="FD70" s="8"/>
      <c r="FE70" s="8"/>
      <c r="FF70" s="8"/>
      <c r="FG70" s="7"/>
      <c r="FH70" s="7"/>
      <c r="FI70" s="7"/>
      <c r="FJ70" s="7"/>
      <c r="FK70" s="7"/>
      <c r="FL70" s="7"/>
      <c r="FM70" s="7"/>
      <c r="FN70" s="7"/>
      <c r="FO70" s="11"/>
      <c r="FP70" s="7"/>
      <c r="FQ70" s="5"/>
      <c r="FR70" s="8"/>
      <c r="FS70" s="13"/>
      <c r="FT70" s="9"/>
      <c r="FU70" s="10"/>
      <c r="FV70" s="8"/>
      <c r="FW70" s="7"/>
      <c r="FX70" s="8"/>
      <c r="FY70" s="8"/>
      <c r="FZ70" s="8"/>
      <c r="GA70" s="7"/>
      <c r="GB70" s="7"/>
      <c r="GC70" s="7"/>
      <c r="GD70" s="7"/>
      <c r="GE70" s="7"/>
      <c r="GF70" s="7"/>
      <c r="GG70" s="7"/>
      <c r="GH70" s="7"/>
      <c r="GI70" s="11"/>
      <c r="GJ70" s="7"/>
      <c r="GK70" s="5"/>
      <c r="GL70" s="8"/>
      <c r="GM70" s="13"/>
      <c r="GN70" s="9"/>
      <c r="GO70" s="10"/>
      <c r="GP70" s="8"/>
      <c r="GQ70" s="7"/>
      <c r="GR70" s="8"/>
      <c r="GS70" s="8"/>
      <c r="GT70" s="8"/>
      <c r="GU70" s="7"/>
      <c r="GV70" s="7"/>
      <c r="GW70" s="7"/>
      <c r="GX70" s="7"/>
      <c r="GY70" s="7"/>
      <c r="GZ70" s="7"/>
      <c r="HA70" s="7"/>
      <c r="HB70" s="7"/>
      <c r="HC70" s="11"/>
      <c r="HD70" s="7"/>
      <c r="HE70" s="5"/>
      <c r="HF70" s="8"/>
      <c r="HG70" s="13"/>
      <c r="HH70" s="9"/>
      <c r="HI70" s="10"/>
      <c r="HJ70" s="8"/>
      <c r="HK70" s="7"/>
      <c r="HL70" s="8"/>
      <c r="HM70" s="8"/>
      <c r="HN70" s="8"/>
      <c r="HO70" s="7"/>
      <c r="HP70" s="7"/>
      <c r="HQ70" s="7"/>
      <c r="HR70" s="7"/>
      <c r="HS70" s="7"/>
      <c r="HT70" s="7"/>
      <c r="HU70" s="7"/>
      <c r="HV70" s="7"/>
      <c r="HW70" s="11"/>
      <c r="HX70" s="7"/>
      <c r="HY70" s="5"/>
      <c r="HZ70" s="8"/>
      <c r="IA70" s="13"/>
      <c r="IB70" s="9"/>
      <c r="IC70" s="10"/>
      <c r="ID70" s="8"/>
      <c r="IE70" s="7"/>
      <c r="IF70" s="8"/>
      <c r="IG70" s="8"/>
      <c r="IH70" s="8"/>
      <c r="II70" s="7"/>
      <c r="IJ70" s="7"/>
      <c r="IK70" s="7"/>
      <c r="IL70" s="7"/>
      <c r="IM70" s="7"/>
    </row>
    <row r="71" spans="1:247" ht="45" customHeight="1">
      <c r="A71" s="30">
        <v>105</v>
      </c>
      <c r="B71" s="45" t="s">
        <v>231</v>
      </c>
      <c r="C71" s="45" t="s">
        <v>38</v>
      </c>
      <c r="D71" s="46"/>
      <c r="E71" s="47">
        <v>38984</v>
      </c>
      <c r="F71" s="48">
        <v>4</v>
      </c>
      <c r="G71" s="45" t="s">
        <v>936</v>
      </c>
      <c r="H71" s="30" t="s">
        <v>937</v>
      </c>
      <c r="I71" s="45" t="s">
        <v>107</v>
      </c>
      <c r="J71" s="49" t="s">
        <v>938</v>
      </c>
      <c r="K71" s="50" t="str">
        <f>"00027649"</f>
        <v>00027649</v>
      </c>
      <c r="L71" s="17"/>
      <c r="M71" s="16"/>
      <c r="N71" s="18"/>
      <c r="O71" s="19"/>
      <c r="P71" s="20"/>
      <c r="Q71" s="21"/>
      <c r="R71" s="18"/>
      <c r="S71" s="17"/>
      <c r="T71" s="18"/>
      <c r="U71" s="18"/>
      <c r="V71" s="18"/>
      <c r="W71" s="17"/>
      <c r="X71" s="17"/>
      <c r="Y71" s="17"/>
      <c r="Z71" s="17"/>
      <c r="AA71" s="17"/>
      <c r="AB71" s="17"/>
      <c r="AC71" s="17"/>
      <c r="AD71" s="17"/>
      <c r="AE71" s="22"/>
      <c r="AF71" s="17"/>
      <c r="AG71" s="16"/>
      <c r="AH71" s="18"/>
      <c r="AI71" s="19"/>
      <c r="AJ71" s="20"/>
      <c r="AK71" s="21"/>
      <c r="AL71" s="18"/>
      <c r="AM71" s="17"/>
      <c r="AN71" s="18"/>
      <c r="AO71" s="18"/>
      <c r="AP71" s="18"/>
      <c r="AQ71" s="17"/>
      <c r="AR71" s="17"/>
      <c r="AS71" s="17"/>
      <c r="AT71" s="17"/>
      <c r="AU71" s="17"/>
      <c r="AV71" s="17"/>
      <c r="AW71" s="17"/>
      <c r="AX71" s="17"/>
      <c r="AY71" s="22"/>
      <c r="AZ71" s="17"/>
      <c r="BA71" s="16"/>
      <c r="BB71" s="18"/>
      <c r="BC71" s="19"/>
      <c r="BD71" s="20"/>
      <c r="BE71" s="21"/>
      <c r="BF71" s="18"/>
      <c r="BG71" s="17"/>
      <c r="BH71" s="18"/>
      <c r="BI71" s="18"/>
      <c r="BJ71" s="18"/>
      <c r="BK71" s="17"/>
      <c r="BL71" s="17"/>
      <c r="BM71" s="17"/>
      <c r="BN71" s="17"/>
      <c r="BO71" s="17"/>
      <c r="BP71" s="17"/>
      <c r="BQ71" s="17"/>
      <c r="BR71" s="17"/>
      <c r="BS71" s="22"/>
      <c r="BT71" s="17"/>
      <c r="BU71" s="16"/>
      <c r="BV71" s="18"/>
      <c r="BW71" s="19"/>
      <c r="BX71" s="20"/>
      <c r="BY71" s="21"/>
      <c r="BZ71" s="18"/>
      <c r="CA71" s="17"/>
      <c r="CB71" s="18"/>
      <c r="CC71" s="18"/>
      <c r="CD71" s="18"/>
      <c r="CE71" s="17"/>
      <c r="CF71" s="17"/>
      <c r="CG71" s="17"/>
      <c r="CH71" s="17"/>
      <c r="CI71" s="17"/>
      <c r="CJ71" s="17"/>
      <c r="CK71" s="17"/>
      <c r="CL71" s="17"/>
      <c r="CM71" s="22"/>
      <c r="CN71" s="17"/>
      <c r="CO71" s="16"/>
      <c r="CP71" s="18"/>
      <c r="CQ71" s="19"/>
      <c r="CR71" s="20"/>
      <c r="CS71" s="21"/>
      <c r="CT71" s="18"/>
      <c r="CU71" s="17"/>
      <c r="CV71" s="18"/>
      <c r="CW71" s="18"/>
      <c r="CX71" s="18"/>
      <c r="CY71" s="17"/>
      <c r="CZ71" s="17"/>
      <c r="DA71" s="25"/>
      <c r="DB71" s="7"/>
      <c r="DC71" s="7"/>
      <c r="DD71" s="7"/>
      <c r="DE71" s="7"/>
      <c r="DF71" s="7"/>
      <c r="DG71" s="11"/>
      <c r="DH71" s="7"/>
      <c r="DI71" s="5"/>
      <c r="DJ71" s="8"/>
      <c r="DK71" s="13"/>
      <c r="DL71" s="9"/>
      <c r="DM71" s="10"/>
      <c r="DN71" s="8"/>
      <c r="DO71" s="7"/>
      <c r="DP71" s="8"/>
      <c r="DQ71" s="8"/>
      <c r="DR71" s="8"/>
      <c r="DS71" s="7"/>
      <c r="DT71" s="7"/>
      <c r="DU71" s="7"/>
      <c r="DV71" s="7"/>
      <c r="DW71" s="7"/>
      <c r="DX71" s="7"/>
      <c r="DY71" s="7"/>
      <c r="DZ71" s="7"/>
      <c r="EA71" s="11"/>
      <c r="EB71" s="7"/>
      <c r="EC71" s="5"/>
      <c r="ED71" s="8"/>
      <c r="EE71" s="13"/>
      <c r="EF71" s="9"/>
      <c r="EG71" s="10"/>
      <c r="EH71" s="8"/>
      <c r="EI71" s="7"/>
      <c r="EJ71" s="8"/>
      <c r="EK71" s="8"/>
      <c r="EL71" s="8"/>
      <c r="EM71" s="7"/>
      <c r="EN71" s="7"/>
      <c r="EO71" s="7"/>
      <c r="EP71" s="7"/>
      <c r="EQ71" s="7"/>
      <c r="ER71" s="7"/>
      <c r="ES71" s="7"/>
      <c r="ET71" s="7"/>
      <c r="EU71" s="11"/>
      <c r="EV71" s="7"/>
      <c r="EW71" s="5"/>
      <c r="EX71" s="8"/>
      <c r="EY71" s="13"/>
      <c r="EZ71" s="9"/>
      <c r="FA71" s="10"/>
      <c r="FB71" s="8"/>
      <c r="FC71" s="7"/>
      <c r="FD71" s="8"/>
      <c r="FE71" s="8"/>
      <c r="FF71" s="8"/>
      <c r="FG71" s="7"/>
      <c r="FH71" s="7"/>
      <c r="FI71" s="7"/>
      <c r="FJ71" s="7"/>
      <c r="FK71" s="7"/>
      <c r="FL71" s="7"/>
      <c r="FM71" s="7"/>
      <c r="FN71" s="7"/>
      <c r="FO71" s="11"/>
      <c r="FP71" s="7"/>
      <c r="FQ71" s="5"/>
      <c r="FR71" s="8"/>
      <c r="FS71" s="13"/>
      <c r="FT71" s="9"/>
      <c r="FU71" s="10"/>
      <c r="FV71" s="8"/>
      <c r="FW71" s="7"/>
      <c r="FX71" s="8"/>
      <c r="FY71" s="8"/>
      <c r="FZ71" s="8"/>
      <c r="GA71" s="7"/>
      <c r="GB71" s="7"/>
      <c r="GC71" s="7"/>
      <c r="GD71" s="7"/>
      <c r="GE71" s="7"/>
      <c r="GF71" s="7"/>
      <c r="GG71" s="7"/>
      <c r="GH71" s="7"/>
      <c r="GI71" s="11"/>
      <c r="GJ71" s="7"/>
      <c r="GK71" s="5"/>
      <c r="GL71" s="8"/>
      <c r="GM71" s="13"/>
      <c r="GN71" s="9"/>
      <c r="GO71" s="10"/>
      <c r="GP71" s="8"/>
      <c r="GQ71" s="7"/>
      <c r="GR71" s="8"/>
      <c r="GS71" s="8"/>
      <c r="GT71" s="8"/>
      <c r="GU71" s="7"/>
      <c r="GV71" s="7"/>
      <c r="GW71" s="7"/>
      <c r="GX71" s="7"/>
      <c r="GY71" s="7"/>
      <c r="GZ71" s="7"/>
      <c r="HA71" s="7"/>
      <c r="HB71" s="7"/>
      <c r="HC71" s="11"/>
      <c r="HD71" s="7"/>
      <c r="HE71" s="5"/>
      <c r="HF71" s="8"/>
      <c r="HG71" s="13"/>
      <c r="HH71" s="9"/>
      <c r="HI71" s="10"/>
      <c r="HJ71" s="8"/>
      <c r="HK71" s="7"/>
      <c r="HL71" s="8"/>
      <c r="HM71" s="8"/>
      <c r="HN71" s="8"/>
      <c r="HO71" s="7"/>
      <c r="HP71" s="7"/>
      <c r="HQ71" s="7"/>
      <c r="HR71" s="7"/>
      <c r="HS71" s="7"/>
      <c r="HT71" s="7"/>
      <c r="HU71" s="7"/>
      <c r="HV71" s="7"/>
      <c r="HW71" s="11"/>
      <c r="HX71" s="7"/>
      <c r="HY71" s="5"/>
      <c r="HZ71" s="8"/>
      <c r="IA71" s="13"/>
      <c r="IB71" s="9"/>
      <c r="IC71" s="10"/>
      <c r="ID71" s="8"/>
      <c r="IE71" s="7"/>
      <c r="IF71" s="8"/>
      <c r="IG71" s="8"/>
      <c r="IH71" s="8"/>
      <c r="II71" s="7"/>
      <c r="IJ71" s="7"/>
      <c r="IK71" s="7"/>
      <c r="IL71" s="7"/>
      <c r="IM71" s="7"/>
    </row>
    <row r="72" spans="1:247" ht="45" customHeight="1">
      <c r="A72" s="30">
        <v>105</v>
      </c>
      <c r="B72" s="51" t="s">
        <v>46</v>
      </c>
      <c r="C72" s="45" t="s">
        <v>38</v>
      </c>
      <c r="D72" s="46"/>
      <c r="E72" s="47">
        <v>113327</v>
      </c>
      <c r="F72" s="48">
        <v>4</v>
      </c>
      <c r="G72" s="45" t="s">
        <v>259</v>
      </c>
      <c r="H72" s="30" t="s">
        <v>939</v>
      </c>
      <c r="I72" s="45" t="s">
        <v>116</v>
      </c>
      <c r="J72" s="45" t="s">
        <v>48</v>
      </c>
      <c r="K72" s="50" t="str">
        <f>"00025860"</f>
        <v>00025860</v>
      </c>
      <c r="L72" s="17"/>
      <c r="M72" s="16"/>
      <c r="N72" s="18"/>
      <c r="O72" s="19"/>
      <c r="P72" s="20"/>
      <c r="Q72" s="21"/>
      <c r="R72" s="18"/>
      <c r="S72" s="17"/>
      <c r="T72" s="18"/>
      <c r="U72" s="18"/>
      <c r="V72" s="18"/>
      <c r="W72" s="17"/>
      <c r="X72" s="17"/>
      <c r="Y72" s="17"/>
      <c r="Z72" s="17"/>
      <c r="AA72" s="17"/>
      <c r="AB72" s="17"/>
      <c r="AC72" s="17"/>
      <c r="AD72" s="17"/>
      <c r="AE72" s="22"/>
      <c r="AF72" s="17"/>
      <c r="AG72" s="16"/>
      <c r="AH72" s="18"/>
      <c r="AI72" s="19"/>
      <c r="AJ72" s="20"/>
      <c r="AK72" s="21"/>
      <c r="AL72" s="18"/>
      <c r="AM72" s="17"/>
      <c r="AN72" s="18"/>
      <c r="AO72" s="18"/>
      <c r="AP72" s="18"/>
      <c r="AQ72" s="17"/>
      <c r="AR72" s="17"/>
      <c r="AS72" s="17"/>
      <c r="AT72" s="17"/>
      <c r="AU72" s="17"/>
      <c r="AV72" s="17"/>
      <c r="AW72" s="17"/>
      <c r="AX72" s="17"/>
      <c r="AY72" s="22"/>
      <c r="AZ72" s="17"/>
      <c r="BA72" s="16"/>
      <c r="BB72" s="18"/>
      <c r="BC72" s="19"/>
      <c r="BD72" s="20"/>
      <c r="BE72" s="21"/>
      <c r="BF72" s="18"/>
      <c r="BG72" s="17"/>
      <c r="BH72" s="18"/>
      <c r="BI72" s="18"/>
      <c r="BJ72" s="18"/>
      <c r="BK72" s="17"/>
      <c r="BL72" s="17"/>
      <c r="BM72" s="17"/>
      <c r="BN72" s="17"/>
      <c r="BO72" s="17"/>
      <c r="BP72" s="17"/>
      <c r="BQ72" s="17"/>
      <c r="BR72" s="17"/>
      <c r="BS72" s="22"/>
      <c r="BT72" s="17"/>
      <c r="BU72" s="16"/>
      <c r="BV72" s="18"/>
      <c r="BW72" s="19"/>
      <c r="BX72" s="20"/>
      <c r="BY72" s="21"/>
      <c r="BZ72" s="18"/>
      <c r="CA72" s="17"/>
      <c r="CB72" s="18"/>
      <c r="CC72" s="18"/>
      <c r="CD72" s="18"/>
      <c r="CE72" s="17"/>
      <c r="CF72" s="17"/>
      <c r="CG72" s="17"/>
      <c r="CH72" s="17"/>
      <c r="CI72" s="17"/>
      <c r="CJ72" s="17"/>
      <c r="CK72" s="17"/>
      <c r="CL72" s="17"/>
      <c r="CM72" s="22"/>
      <c r="CN72" s="17"/>
      <c r="CO72" s="16"/>
      <c r="CP72" s="18"/>
      <c r="CQ72" s="19"/>
      <c r="CR72" s="20"/>
      <c r="CS72" s="21"/>
      <c r="CT72" s="18"/>
      <c r="CU72" s="17"/>
      <c r="CV72" s="18"/>
      <c r="CW72" s="18"/>
      <c r="CX72" s="18"/>
      <c r="CY72" s="17"/>
      <c r="CZ72" s="17"/>
      <c r="DA72" s="25"/>
      <c r="DB72" s="7"/>
      <c r="DC72" s="7"/>
      <c r="DD72" s="7"/>
      <c r="DE72" s="7"/>
      <c r="DF72" s="7"/>
      <c r="DG72" s="11"/>
      <c r="DH72" s="7"/>
      <c r="DI72" s="5"/>
      <c r="DJ72" s="8"/>
      <c r="DK72" s="13"/>
      <c r="DL72" s="9"/>
      <c r="DM72" s="10"/>
      <c r="DN72" s="8"/>
      <c r="DO72" s="7"/>
      <c r="DP72" s="8"/>
      <c r="DQ72" s="8"/>
      <c r="DR72" s="8"/>
      <c r="DS72" s="7"/>
      <c r="DT72" s="7"/>
      <c r="DU72" s="7"/>
      <c r="DV72" s="7"/>
      <c r="DW72" s="7"/>
      <c r="DX72" s="7"/>
      <c r="DY72" s="7"/>
      <c r="DZ72" s="7"/>
      <c r="EA72" s="11"/>
      <c r="EB72" s="7"/>
      <c r="EC72" s="5"/>
      <c r="ED72" s="8"/>
      <c r="EE72" s="13"/>
      <c r="EF72" s="9"/>
      <c r="EG72" s="10"/>
      <c r="EH72" s="8"/>
      <c r="EI72" s="7"/>
      <c r="EJ72" s="8"/>
      <c r="EK72" s="8"/>
      <c r="EL72" s="8"/>
      <c r="EM72" s="7"/>
      <c r="EN72" s="7"/>
      <c r="EO72" s="7"/>
      <c r="EP72" s="7"/>
      <c r="EQ72" s="7"/>
      <c r="ER72" s="7"/>
      <c r="ES72" s="7"/>
      <c r="ET72" s="7"/>
      <c r="EU72" s="11"/>
      <c r="EV72" s="7"/>
      <c r="EW72" s="5"/>
      <c r="EX72" s="8"/>
      <c r="EY72" s="13"/>
      <c r="EZ72" s="9"/>
      <c r="FA72" s="10"/>
      <c r="FB72" s="8"/>
      <c r="FC72" s="7"/>
      <c r="FD72" s="8"/>
      <c r="FE72" s="8"/>
      <c r="FF72" s="8"/>
      <c r="FG72" s="7"/>
      <c r="FH72" s="7"/>
      <c r="FI72" s="7"/>
      <c r="FJ72" s="7"/>
      <c r="FK72" s="7"/>
      <c r="FL72" s="7"/>
      <c r="FM72" s="7"/>
      <c r="FN72" s="7"/>
      <c r="FO72" s="11"/>
      <c r="FP72" s="7"/>
      <c r="FQ72" s="5"/>
      <c r="FR72" s="8"/>
      <c r="FS72" s="13"/>
      <c r="FT72" s="9"/>
      <c r="FU72" s="10"/>
      <c r="FV72" s="8"/>
      <c r="FW72" s="7"/>
      <c r="FX72" s="8"/>
      <c r="FY72" s="8"/>
      <c r="FZ72" s="8"/>
      <c r="GA72" s="7"/>
      <c r="GB72" s="7"/>
      <c r="GC72" s="7"/>
      <c r="GD72" s="7"/>
      <c r="GE72" s="7"/>
      <c r="GF72" s="7"/>
      <c r="GG72" s="7"/>
      <c r="GH72" s="7"/>
      <c r="GI72" s="11"/>
      <c r="GJ72" s="7"/>
      <c r="GK72" s="5"/>
      <c r="GL72" s="8"/>
      <c r="GM72" s="13"/>
      <c r="GN72" s="9"/>
      <c r="GO72" s="10"/>
      <c r="GP72" s="8"/>
      <c r="GQ72" s="7"/>
      <c r="GR72" s="8"/>
      <c r="GS72" s="8"/>
      <c r="GT72" s="8"/>
      <c r="GU72" s="7"/>
      <c r="GV72" s="7"/>
      <c r="GW72" s="7"/>
      <c r="GX72" s="7"/>
      <c r="GY72" s="7"/>
      <c r="GZ72" s="7"/>
      <c r="HA72" s="7"/>
      <c r="HB72" s="7"/>
      <c r="HC72" s="11"/>
      <c r="HD72" s="7"/>
      <c r="HE72" s="5"/>
      <c r="HF72" s="8"/>
      <c r="HG72" s="13"/>
      <c r="HH72" s="9"/>
      <c r="HI72" s="10"/>
      <c r="HJ72" s="8"/>
      <c r="HK72" s="7"/>
      <c r="HL72" s="8"/>
      <c r="HM72" s="8"/>
      <c r="HN72" s="8"/>
      <c r="HO72" s="7"/>
      <c r="HP72" s="7"/>
      <c r="HQ72" s="7"/>
      <c r="HR72" s="7"/>
      <c r="HS72" s="7"/>
      <c r="HT72" s="7"/>
      <c r="HU72" s="7"/>
      <c r="HV72" s="7"/>
      <c r="HW72" s="11"/>
      <c r="HX72" s="7"/>
      <c r="HY72" s="5"/>
      <c r="HZ72" s="8"/>
      <c r="IA72" s="13"/>
      <c r="IB72" s="9"/>
      <c r="IC72" s="10"/>
      <c r="ID72" s="8"/>
      <c r="IE72" s="7"/>
      <c r="IF72" s="8"/>
      <c r="IG72" s="8"/>
      <c r="IH72" s="8"/>
      <c r="II72" s="7"/>
      <c r="IJ72" s="7"/>
      <c r="IK72" s="7"/>
      <c r="IL72" s="7"/>
      <c r="IM72" s="7"/>
    </row>
    <row r="73" spans="1:247" ht="45" customHeight="1">
      <c r="A73" s="30">
        <v>105</v>
      </c>
      <c r="B73" s="45" t="s">
        <v>237</v>
      </c>
      <c r="C73" s="45" t="s">
        <v>38</v>
      </c>
      <c r="D73" s="46"/>
      <c r="E73" s="47">
        <v>55551</v>
      </c>
      <c r="F73" s="48">
        <v>4</v>
      </c>
      <c r="G73" s="45" t="s">
        <v>940</v>
      </c>
      <c r="H73" s="30" t="s">
        <v>941</v>
      </c>
      <c r="I73" s="45" t="s">
        <v>152</v>
      </c>
      <c r="J73" s="45" t="s">
        <v>153</v>
      </c>
      <c r="K73" s="61" t="s">
        <v>5954</v>
      </c>
      <c r="L73" s="17"/>
      <c r="M73" s="16"/>
      <c r="N73" s="18"/>
      <c r="O73" s="19"/>
      <c r="P73" s="20"/>
      <c r="Q73" s="21"/>
      <c r="R73" s="18"/>
      <c r="S73" s="17"/>
      <c r="T73" s="18"/>
      <c r="U73" s="18"/>
      <c r="V73" s="18"/>
      <c r="W73" s="17"/>
      <c r="X73" s="17"/>
      <c r="Y73" s="17"/>
      <c r="Z73" s="17"/>
      <c r="AA73" s="17"/>
      <c r="AB73" s="17"/>
      <c r="AC73" s="17"/>
      <c r="AD73" s="17"/>
      <c r="AE73" s="22"/>
      <c r="AF73" s="17"/>
      <c r="AG73" s="16"/>
      <c r="AH73" s="18"/>
      <c r="AI73" s="19"/>
      <c r="AJ73" s="20"/>
      <c r="AK73" s="21"/>
      <c r="AL73" s="18"/>
      <c r="AM73" s="17"/>
      <c r="AN73" s="18"/>
      <c r="AO73" s="18"/>
      <c r="AP73" s="18"/>
      <c r="AQ73" s="17"/>
      <c r="AR73" s="17"/>
      <c r="AS73" s="17"/>
      <c r="AT73" s="17"/>
      <c r="AU73" s="17"/>
      <c r="AV73" s="17"/>
      <c r="AW73" s="17"/>
      <c r="AX73" s="17"/>
      <c r="AY73" s="22"/>
      <c r="AZ73" s="17"/>
      <c r="BA73" s="16"/>
      <c r="BB73" s="18"/>
      <c r="BC73" s="19"/>
      <c r="BD73" s="20"/>
      <c r="BE73" s="21"/>
      <c r="BF73" s="18"/>
      <c r="BG73" s="17"/>
      <c r="BH73" s="18"/>
      <c r="BI73" s="18"/>
      <c r="BJ73" s="18"/>
      <c r="BK73" s="17"/>
      <c r="BL73" s="17"/>
      <c r="BM73" s="17"/>
      <c r="BN73" s="17"/>
      <c r="BO73" s="17"/>
      <c r="BP73" s="17"/>
      <c r="BQ73" s="17"/>
      <c r="BR73" s="17"/>
      <c r="BS73" s="22"/>
      <c r="BT73" s="17"/>
      <c r="BU73" s="16"/>
      <c r="BV73" s="18"/>
      <c r="BW73" s="19"/>
      <c r="BX73" s="20"/>
      <c r="BY73" s="21"/>
      <c r="BZ73" s="18"/>
      <c r="CA73" s="17"/>
      <c r="CB73" s="18"/>
      <c r="CC73" s="18"/>
      <c r="CD73" s="18"/>
      <c r="CE73" s="17"/>
      <c r="CF73" s="17"/>
      <c r="CG73" s="17"/>
      <c r="CH73" s="17"/>
      <c r="CI73" s="17"/>
      <c r="CJ73" s="17"/>
      <c r="CK73" s="17"/>
      <c r="CL73" s="17"/>
      <c r="CM73" s="22"/>
      <c r="CN73" s="17"/>
      <c r="CO73" s="16"/>
      <c r="CP73" s="18"/>
      <c r="CQ73" s="19"/>
      <c r="CR73" s="20"/>
      <c r="CS73" s="21"/>
      <c r="CT73" s="18"/>
      <c r="CU73" s="17"/>
      <c r="CV73" s="18"/>
      <c r="CW73" s="18"/>
      <c r="CX73" s="18"/>
      <c r="CY73" s="17"/>
      <c r="CZ73" s="17"/>
      <c r="DA73" s="25"/>
      <c r="DB73" s="7"/>
      <c r="DC73" s="7"/>
      <c r="DD73" s="7"/>
      <c r="DE73" s="7"/>
      <c r="DF73" s="7"/>
      <c r="DG73" s="11"/>
      <c r="DH73" s="7"/>
      <c r="DI73" s="5"/>
      <c r="DJ73" s="8"/>
      <c r="DK73" s="13"/>
      <c r="DL73" s="9"/>
      <c r="DM73" s="10"/>
      <c r="DN73" s="8"/>
      <c r="DO73" s="7"/>
      <c r="DP73" s="8"/>
      <c r="DQ73" s="8"/>
      <c r="DR73" s="8"/>
      <c r="DS73" s="7"/>
      <c r="DT73" s="7"/>
      <c r="DU73" s="7"/>
      <c r="DV73" s="7"/>
      <c r="DW73" s="7"/>
      <c r="DX73" s="7"/>
      <c r="DY73" s="7"/>
      <c r="DZ73" s="7"/>
      <c r="EA73" s="11"/>
      <c r="EB73" s="7"/>
      <c r="EC73" s="5"/>
      <c r="ED73" s="8"/>
      <c r="EE73" s="13"/>
      <c r="EF73" s="9"/>
      <c r="EG73" s="10"/>
      <c r="EH73" s="8"/>
      <c r="EI73" s="7"/>
      <c r="EJ73" s="8"/>
      <c r="EK73" s="8"/>
      <c r="EL73" s="8"/>
      <c r="EM73" s="7"/>
      <c r="EN73" s="7"/>
      <c r="EO73" s="7"/>
      <c r="EP73" s="7"/>
      <c r="EQ73" s="7"/>
      <c r="ER73" s="7"/>
      <c r="ES73" s="7"/>
      <c r="ET73" s="7"/>
      <c r="EU73" s="11"/>
      <c r="EV73" s="7"/>
      <c r="EW73" s="5"/>
      <c r="EX73" s="8"/>
      <c r="EY73" s="13"/>
      <c r="EZ73" s="9"/>
      <c r="FA73" s="10"/>
      <c r="FB73" s="8"/>
      <c r="FC73" s="7"/>
      <c r="FD73" s="8"/>
      <c r="FE73" s="8"/>
      <c r="FF73" s="8"/>
      <c r="FG73" s="7"/>
      <c r="FH73" s="7"/>
      <c r="FI73" s="7"/>
      <c r="FJ73" s="7"/>
      <c r="FK73" s="7"/>
      <c r="FL73" s="7"/>
      <c r="FM73" s="7"/>
      <c r="FN73" s="7"/>
      <c r="FO73" s="11"/>
      <c r="FP73" s="7"/>
      <c r="FQ73" s="5"/>
      <c r="FR73" s="8"/>
      <c r="FS73" s="13"/>
      <c r="FT73" s="9"/>
      <c r="FU73" s="10"/>
      <c r="FV73" s="8"/>
      <c r="FW73" s="7"/>
      <c r="FX73" s="8"/>
      <c r="FY73" s="8"/>
      <c r="FZ73" s="8"/>
      <c r="GA73" s="7"/>
      <c r="GB73" s="7"/>
      <c r="GC73" s="7"/>
      <c r="GD73" s="7"/>
      <c r="GE73" s="7"/>
      <c r="GF73" s="7"/>
      <c r="GG73" s="7"/>
      <c r="GH73" s="7"/>
      <c r="GI73" s="11"/>
      <c r="GJ73" s="7"/>
      <c r="GK73" s="5"/>
      <c r="GL73" s="8"/>
      <c r="GM73" s="13"/>
      <c r="GN73" s="9"/>
      <c r="GO73" s="10"/>
      <c r="GP73" s="8"/>
      <c r="GQ73" s="7"/>
      <c r="GR73" s="8"/>
      <c r="GS73" s="8"/>
      <c r="GT73" s="8"/>
      <c r="GU73" s="7"/>
      <c r="GV73" s="7"/>
      <c r="GW73" s="7"/>
      <c r="GX73" s="7"/>
      <c r="GY73" s="7"/>
      <c r="GZ73" s="7"/>
      <c r="HA73" s="7"/>
      <c r="HB73" s="7"/>
      <c r="HC73" s="11"/>
      <c r="HD73" s="7"/>
      <c r="HE73" s="5"/>
      <c r="HF73" s="8"/>
      <c r="HG73" s="13"/>
      <c r="HH73" s="9"/>
      <c r="HI73" s="10"/>
      <c r="HJ73" s="8"/>
      <c r="HK73" s="7"/>
      <c r="HL73" s="8"/>
      <c r="HM73" s="8"/>
      <c r="HN73" s="8"/>
      <c r="HO73" s="7"/>
      <c r="HP73" s="7"/>
      <c r="HQ73" s="7"/>
      <c r="HR73" s="7"/>
      <c r="HS73" s="7"/>
      <c r="HT73" s="7"/>
      <c r="HU73" s="7"/>
      <c r="HV73" s="7"/>
      <c r="HW73" s="11"/>
      <c r="HX73" s="7"/>
      <c r="HY73" s="5"/>
      <c r="HZ73" s="8"/>
      <c r="IA73" s="13"/>
      <c r="IB73" s="9"/>
      <c r="IC73" s="10"/>
      <c r="ID73" s="8"/>
      <c r="IE73" s="7"/>
      <c r="IF73" s="8"/>
      <c r="IG73" s="8"/>
      <c r="IH73" s="8"/>
      <c r="II73" s="7"/>
      <c r="IJ73" s="7"/>
      <c r="IK73" s="7"/>
      <c r="IL73" s="7"/>
      <c r="IM73" s="7"/>
    </row>
    <row r="74" spans="1:247" ht="45" customHeight="1">
      <c r="A74" s="30">
        <v>105</v>
      </c>
      <c r="B74" s="51" t="s">
        <v>3</v>
      </c>
      <c r="C74" s="45" t="s">
        <v>38</v>
      </c>
      <c r="D74" s="46"/>
      <c r="E74" s="47">
        <v>186811</v>
      </c>
      <c r="F74" s="48">
        <v>4</v>
      </c>
      <c r="G74" s="45" t="s">
        <v>5553</v>
      </c>
      <c r="H74" s="30" t="s">
        <v>942</v>
      </c>
      <c r="I74" s="45" t="s">
        <v>107</v>
      </c>
      <c r="J74" s="45" t="s">
        <v>263</v>
      </c>
      <c r="K74" s="61" t="s">
        <v>5955</v>
      </c>
      <c r="L74" s="17"/>
      <c r="M74" s="16"/>
      <c r="N74" s="18"/>
      <c r="O74" s="19"/>
      <c r="P74" s="20"/>
      <c r="Q74" s="21"/>
      <c r="R74" s="18"/>
      <c r="S74" s="17"/>
      <c r="T74" s="18"/>
      <c r="U74" s="18"/>
      <c r="V74" s="18"/>
      <c r="W74" s="17"/>
      <c r="X74" s="17"/>
      <c r="Y74" s="17"/>
      <c r="Z74" s="17"/>
      <c r="AA74" s="17"/>
      <c r="AB74" s="17"/>
      <c r="AC74" s="17"/>
      <c r="AD74" s="17"/>
      <c r="AE74" s="22"/>
      <c r="AF74" s="17"/>
      <c r="AG74" s="16"/>
      <c r="AH74" s="18"/>
      <c r="AI74" s="19"/>
      <c r="AJ74" s="20"/>
      <c r="AK74" s="21"/>
      <c r="AL74" s="18"/>
      <c r="AM74" s="17"/>
      <c r="AN74" s="18"/>
      <c r="AO74" s="18"/>
      <c r="AP74" s="18"/>
      <c r="AQ74" s="17"/>
      <c r="AR74" s="17"/>
      <c r="AS74" s="17"/>
      <c r="AT74" s="17"/>
      <c r="AU74" s="17"/>
      <c r="AV74" s="17"/>
      <c r="AW74" s="17"/>
      <c r="AX74" s="17"/>
      <c r="AY74" s="22"/>
      <c r="AZ74" s="17"/>
      <c r="BA74" s="16"/>
      <c r="BB74" s="18"/>
      <c r="BC74" s="19"/>
      <c r="BD74" s="20"/>
      <c r="BE74" s="21"/>
      <c r="BF74" s="18"/>
      <c r="BG74" s="17"/>
      <c r="BH74" s="18"/>
      <c r="BI74" s="18"/>
      <c r="BJ74" s="18"/>
      <c r="BK74" s="17"/>
      <c r="BL74" s="17"/>
      <c r="BM74" s="17"/>
      <c r="BN74" s="17"/>
      <c r="BO74" s="17"/>
      <c r="BP74" s="17"/>
      <c r="BQ74" s="17"/>
      <c r="BR74" s="17"/>
      <c r="BS74" s="22"/>
      <c r="BT74" s="17"/>
      <c r="BU74" s="16"/>
      <c r="BV74" s="18"/>
      <c r="BW74" s="19"/>
      <c r="BX74" s="20"/>
      <c r="BY74" s="21"/>
      <c r="BZ74" s="18"/>
      <c r="CA74" s="17"/>
      <c r="CB74" s="18"/>
      <c r="CC74" s="18"/>
      <c r="CD74" s="18"/>
      <c r="CE74" s="17"/>
      <c r="CF74" s="17"/>
      <c r="CG74" s="17"/>
      <c r="CH74" s="17"/>
      <c r="CI74" s="17"/>
      <c r="CJ74" s="17"/>
      <c r="CK74" s="17"/>
      <c r="CL74" s="17"/>
      <c r="CM74" s="22"/>
      <c r="CN74" s="17"/>
      <c r="CO74" s="16"/>
      <c r="CP74" s="18"/>
      <c r="CQ74" s="19"/>
      <c r="CR74" s="20"/>
      <c r="CS74" s="21"/>
      <c r="CT74" s="18"/>
      <c r="CU74" s="17"/>
      <c r="CV74" s="18"/>
      <c r="CW74" s="18"/>
      <c r="CX74" s="18"/>
      <c r="CY74" s="17"/>
      <c r="CZ74" s="17"/>
      <c r="DA74" s="25"/>
      <c r="DB74" s="7"/>
      <c r="DC74" s="7"/>
      <c r="DD74" s="7"/>
      <c r="DE74" s="7"/>
      <c r="DF74" s="7"/>
      <c r="DG74" s="11"/>
      <c r="DH74" s="7"/>
      <c r="DI74" s="5"/>
      <c r="DJ74" s="8"/>
      <c r="DK74" s="13"/>
      <c r="DL74" s="9"/>
      <c r="DM74" s="10"/>
      <c r="DN74" s="8"/>
      <c r="DO74" s="7"/>
      <c r="DP74" s="8"/>
      <c r="DQ74" s="8"/>
      <c r="DR74" s="8"/>
      <c r="DS74" s="7"/>
      <c r="DT74" s="7"/>
      <c r="DU74" s="7"/>
      <c r="DV74" s="7"/>
      <c r="DW74" s="7"/>
      <c r="DX74" s="7"/>
      <c r="DY74" s="7"/>
      <c r="DZ74" s="7"/>
      <c r="EA74" s="11"/>
      <c r="EB74" s="7"/>
      <c r="EC74" s="5"/>
      <c r="ED74" s="8"/>
      <c r="EE74" s="13"/>
      <c r="EF74" s="9"/>
      <c r="EG74" s="10"/>
      <c r="EH74" s="8"/>
      <c r="EI74" s="7"/>
      <c r="EJ74" s="8"/>
      <c r="EK74" s="8"/>
      <c r="EL74" s="8"/>
      <c r="EM74" s="7"/>
      <c r="EN74" s="7"/>
      <c r="EO74" s="7"/>
      <c r="EP74" s="7"/>
      <c r="EQ74" s="7"/>
      <c r="ER74" s="7"/>
      <c r="ES74" s="7"/>
      <c r="ET74" s="7"/>
      <c r="EU74" s="11"/>
      <c r="EV74" s="7"/>
      <c r="EW74" s="5"/>
      <c r="EX74" s="8"/>
      <c r="EY74" s="13"/>
      <c r="EZ74" s="9"/>
      <c r="FA74" s="10"/>
      <c r="FB74" s="8"/>
      <c r="FC74" s="7"/>
      <c r="FD74" s="8"/>
      <c r="FE74" s="8"/>
      <c r="FF74" s="8"/>
      <c r="FG74" s="7"/>
      <c r="FH74" s="7"/>
      <c r="FI74" s="7"/>
      <c r="FJ74" s="7"/>
      <c r="FK74" s="7"/>
      <c r="FL74" s="7"/>
      <c r="FM74" s="7"/>
      <c r="FN74" s="7"/>
      <c r="FO74" s="11"/>
      <c r="FP74" s="7"/>
      <c r="FQ74" s="5"/>
      <c r="FR74" s="8"/>
      <c r="FS74" s="13"/>
      <c r="FT74" s="9"/>
      <c r="FU74" s="10"/>
      <c r="FV74" s="8"/>
      <c r="FW74" s="7"/>
      <c r="FX74" s="8"/>
      <c r="FY74" s="8"/>
      <c r="FZ74" s="8"/>
      <c r="GA74" s="7"/>
      <c r="GB74" s="7"/>
      <c r="GC74" s="7"/>
      <c r="GD74" s="7"/>
      <c r="GE74" s="7"/>
      <c r="GF74" s="7"/>
      <c r="GG74" s="7"/>
      <c r="GH74" s="7"/>
      <c r="GI74" s="11"/>
      <c r="GJ74" s="7"/>
      <c r="GK74" s="5"/>
      <c r="GL74" s="8"/>
      <c r="GM74" s="13"/>
      <c r="GN74" s="9"/>
      <c r="GO74" s="10"/>
      <c r="GP74" s="8"/>
      <c r="GQ74" s="7"/>
      <c r="GR74" s="8"/>
      <c r="GS74" s="8"/>
      <c r="GT74" s="8"/>
      <c r="GU74" s="7"/>
      <c r="GV74" s="7"/>
      <c r="GW74" s="7"/>
      <c r="GX74" s="7"/>
      <c r="GY74" s="7"/>
      <c r="GZ74" s="7"/>
      <c r="HA74" s="7"/>
      <c r="HB74" s="7"/>
      <c r="HC74" s="11"/>
      <c r="HD74" s="7"/>
      <c r="HE74" s="5"/>
      <c r="HF74" s="8"/>
      <c r="HG74" s="13"/>
      <c r="HH74" s="9"/>
      <c r="HI74" s="10"/>
      <c r="HJ74" s="8"/>
      <c r="HK74" s="7"/>
      <c r="HL74" s="8"/>
      <c r="HM74" s="8"/>
      <c r="HN74" s="8"/>
      <c r="HO74" s="7"/>
      <c r="HP74" s="7"/>
      <c r="HQ74" s="7"/>
      <c r="HR74" s="7"/>
      <c r="HS74" s="7"/>
      <c r="HT74" s="7"/>
      <c r="HU74" s="7"/>
      <c r="HV74" s="7"/>
      <c r="HW74" s="11"/>
      <c r="HX74" s="7"/>
      <c r="HY74" s="5"/>
      <c r="HZ74" s="8"/>
      <c r="IA74" s="13"/>
      <c r="IB74" s="9"/>
      <c r="IC74" s="10"/>
      <c r="ID74" s="8"/>
      <c r="IE74" s="7"/>
      <c r="IF74" s="8"/>
      <c r="IG74" s="8"/>
      <c r="IH74" s="8"/>
      <c r="II74" s="7"/>
      <c r="IJ74" s="7"/>
      <c r="IK74" s="7"/>
      <c r="IL74" s="7"/>
      <c r="IM74" s="7"/>
    </row>
    <row r="75" spans="1:247" ht="45" customHeight="1">
      <c r="A75" s="30">
        <v>105</v>
      </c>
      <c r="B75" s="45" t="s">
        <v>225</v>
      </c>
      <c r="C75" s="45" t="s">
        <v>38</v>
      </c>
      <c r="D75" s="46"/>
      <c r="E75" s="47">
        <v>199403</v>
      </c>
      <c r="F75" s="48">
        <v>4</v>
      </c>
      <c r="G75" s="45" t="s">
        <v>961</v>
      </c>
      <c r="H75" s="30" t="s">
        <v>962</v>
      </c>
      <c r="I75" s="45" t="s">
        <v>107</v>
      </c>
      <c r="J75" s="45" t="s">
        <v>647</v>
      </c>
      <c r="K75" s="61" t="s">
        <v>5956</v>
      </c>
      <c r="L75" s="17"/>
      <c r="M75" s="16"/>
      <c r="N75" s="18"/>
      <c r="O75" s="19"/>
      <c r="P75" s="20"/>
      <c r="Q75" s="21"/>
      <c r="R75" s="18"/>
      <c r="S75" s="17"/>
      <c r="T75" s="18"/>
      <c r="U75" s="18"/>
      <c r="V75" s="18"/>
      <c r="W75" s="17"/>
      <c r="X75" s="17"/>
      <c r="Y75" s="17"/>
      <c r="Z75" s="17"/>
      <c r="AA75" s="17"/>
      <c r="AB75" s="17"/>
      <c r="AC75" s="17"/>
      <c r="AD75" s="17"/>
      <c r="AE75" s="22"/>
      <c r="AF75" s="17"/>
      <c r="AG75" s="16"/>
      <c r="AH75" s="18"/>
      <c r="AI75" s="19"/>
      <c r="AJ75" s="20"/>
      <c r="AK75" s="21"/>
      <c r="AL75" s="18"/>
      <c r="AM75" s="17"/>
      <c r="AN75" s="18"/>
      <c r="AO75" s="18"/>
      <c r="AP75" s="18"/>
      <c r="AQ75" s="17"/>
      <c r="AR75" s="17"/>
      <c r="AS75" s="17"/>
      <c r="AT75" s="17"/>
      <c r="AU75" s="17"/>
      <c r="AV75" s="17"/>
      <c r="AW75" s="17"/>
      <c r="AX75" s="17"/>
      <c r="AY75" s="22"/>
      <c r="AZ75" s="17"/>
      <c r="BA75" s="16"/>
      <c r="BB75" s="18"/>
      <c r="BC75" s="19"/>
      <c r="BD75" s="20"/>
      <c r="BE75" s="21"/>
      <c r="BF75" s="18"/>
      <c r="BG75" s="17"/>
      <c r="BH75" s="18"/>
      <c r="BI75" s="18"/>
      <c r="BJ75" s="18"/>
      <c r="BK75" s="17"/>
      <c r="BL75" s="17"/>
      <c r="BM75" s="17"/>
      <c r="BN75" s="17"/>
      <c r="BO75" s="17"/>
      <c r="BP75" s="17"/>
      <c r="BQ75" s="17"/>
      <c r="BR75" s="17"/>
      <c r="BS75" s="22"/>
      <c r="BT75" s="17"/>
      <c r="BU75" s="16"/>
      <c r="BV75" s="18"/>
      <c r="BW75" s="19"/>
      <c r="BX75" s="20"/>
      <c r="BY75" s="21"/>
      <c r="BZ75" s="18"/>
      <c r="CA75" s="17"/>
      <c r="CB75" s="18"/>
      <c r="CC75" s="18"/>
      <c r="CD75" s="18"/>
      <c r="CE75" s="17"/>
      <c r="CF75" s="17"/>
      <c r="CG75" s="17"/>
      <c r="CH75" s="17"/>
      <c r="CI75" s="17"/>
      <c r="CJ75" s="17"/>
      <c r="CK75" s="17"/>
      <c r="CL75" s="17"/>
      <c r="CM75" s="22"/>
      <c r="CN75" s="17"/>
      <c r="CO75" s="16"/>
      <c r="CP75" s="18"/>
      <c r="CQ75" s="19"/>
      <c r="CR75" s="20"/>
      <c r="CS75" s="21"/>
      <c r="CT75" s="18"/>
      <c r="CU75" s="17"/>
      <c r="CV75" s="18"/>
      <c r="CW75" s="18"/>
      <c r="CX75" s="18"/>
      <c r="CY75" s="17"/>
      <c r="CZ75" s="17"/>
      <c r="DA75" s="25"/>
      <c r="DB75" s="7"/>
      <c r="DC75" s="7"/>
      <c r="DD75" s="7"/>
      <c r="DE75" s="7"/>
      <c r="DF75" s="7"/>
      <c r="DG75" s="11"/>
      <c r="DH75" s="7"/>
      <c r="DI75" s="5"/>
      <c r="DJ75" s="8"/>
      <c r="DK75" s="13"/>
      <c r="DL75" s="9"/>
      <c r="DM75" s="10"/>
      <c r="DN75" s="8"/>
      <c r="DO75" s="7"/>
      <c r="DP75" s="8"/>
      <c r="DQ75" s="8"/>
      <c r="DR75" s="8"/>
      <c r="DS75" s="7"/>
      <c r="DT75" s="7"/>
      <c r="DU75" s="7"/>
      <c r="DV75" s="7"/>
      <c r="DW75" s="7"/>
      <c r="DX75" s="7"/>
      <c r="DY75" s="7"/>
      <c r="DZ75" s="7"/>
      <c r="EA75" s="11"/>
      <c r="EB75" s="7"/>
      <c r="EC75" s="5"/>
      <c r="ED75" s="8"/>
      <c r="EE75" s="13"/>
      <c r="EF75" s="9"/>
      <c r="EG75" s="10"/>
      <c r="EH75" s="8"/>
      <c r="EI75" s="7"/>
      <c r="EJ75" s="8"/>
      <c r="EK75" s="8"/>
      <c r="EL75" s="8"/>
      <c r="EM75" s="7"/>
      <c r="EN75" s="7"/>
      <c r="EO75" s="7"/>
      <c r="EP75" s="7"/>
      <c r="EQ75" s="7"/>
      <c r="ER75" s="7"/>
      <c r="ES75" s="7"/>
      <c r="ET75" s="7"/>
      <c r="EU75" s="11"/>
      <c r="EV75" s="7"/>
      <c r="EW75" s="5"/>
      <c r="EX75" s="8"/>
      <c r="EY75" s="13"/>
      <c r="EZ75" s="9"/>
      <c r="FA75" s="10"/>
      <c r="FB75" s="8"/>
      <c r="FC75" s="7"/>
      <c r="FD75" s="8"/>
      <c r="FE75" s="8"/>
      <c r="FF75" s="8"/>
      <c r="FG75" s="7"/>
      <c r="FH75" s="7"/>
      <c r="FI75" s="7"/>
      <c r="FJ75" s="7"/>
      <c r="FK75" s="7"/>
      <c r="FL75" s="7"/>
      <c r="FM75" s="7"/>
      <c r="FN75" s="7"/>
      <c r="FO75" s="11"/>
      <c r="FP75" s="7"/>
      <c r="FQ75" s="5"/>
      <c r="FR75" s="8"/>
      <c r="FS75" s="13"/>
      <c r="FT75" s="9"/>
      <c r="FU75" s="10"/>
      <c r="FV75" s="8"/>
      <c r="FW75" s="7"/>
      <c r="FX75" s="8"/>
      <c r="FY75" s="8"/>
      <c r="FZ75" s="8"/>
      <c r="GA75" s="7"/>
      <c r="GB75" s="7"/>
      <c r="GC75" s="7"/>
      <c r="GD75" s="7"/>
      <c r="GE75" s="7"/>
      <c r="GF75" s="7"/>
      <c r="GG75" s="7"/>
      <c r="GH75" s="7"/>
      <c r="GI75" s="11"/>
      <c r="GJ75" s="7"/>
      <c r="GK75" s="5"/>
      <c r="GL75" s="8"/>
      <c r="GM75" s="13"/>
      <c r="GN75" s="9"/>
      <c r="GO75" s="10"/>
      <c r="GP75" s="8"/>
      <c r="GQ75" s="7"/>
      <c r="GR75" s="8"/>
      <c r="GS75" s="8"/>
      <c r="GT75" s="8"/>
      <c r="GU75" s="7"/>
      <c r="GV75" s="7"/>
      <c r="GW75" s="7"/>
      <c r="GX75" s="7"/>
      <c r="GY75" s="7"/>
      <c r="GZ75" s="7"/>
      <c r="HA75" s="7"/>
      <c r="HB75" s="7"/>
      <c r="HC75" s="11"/>
      <c r="HD75" s="7"/>
      <c r="HE75" s="5"/>
      <c r="HF75" s="8"/>
      <c r="HG75" s="13"/>
      <c r="HH75" s="9"/>
      <c r="HI75" s="10"/>
      <c r="HJ75" s="8"/>
      <c r="HK75" s="7"/>
      <c r="HL75" s="8"/>
      <c r="HM75" s="8"/>
      <c r="HN75" s="8"/>
      <c r="HO75" s="7"/>
      <c r="HP75" s="7"/>
      <c r="HQ75" s="7"/>
      <c r="HR75" s="7"/>
      <c r="HS75" s="7"/>
      <c r="HT75" s="7"/>
      <c r="HU75" s="7"/>
      <c r="HV75" s="7"/>
      <c r="HW75" s="11"/>
      <c r="HX75" s="7"/>
      <c r="HY75" s="5"/>
      <c r="HZ75" s="8"/>
      <c r="IA75" s="13"/>
      <c r="IB75" s="9"/>
      <c r="IC75" s="10"/>
      <c r="ID75" s="8"/>
      <c r="IE75" s="7"/>
      <c r="IF75" s="8"/>
      <c r="IG75" s="8"/>
      <c r="IH75" s="8"/>
      <c r="II75" s="7"/>
      <c r="IJ75" s="7"/>
      <c r="IK75" s="7"/>
      <c r="IL75" s="7"/>
      <c r="IM75" s="7"/>
    </row>
    <row r="76" spans="1:247" ht="45" customHeight="1">
      <c r="A76" s="30">
        <v>105</v>
      </c>
      <c r="B76" s="45" t="s">
        <v>234</v>
      </c>
      <c r="C76" s="45" t="s">
        <v>38</v>
      </c>
      <c r="D76" s="46"/>
      <c r="E76" s="47">
        <v>130391</v>
      </c>
      <c r="F76" s="48">
        <v>4</v>
      </c>
      <c r="G76" s="45" t="s">
        <v>943</v>
      </c>
      <c r="H76" s="30" t="s">
        <v>944</v>
      </c>
      <c r="I76" s="45" t="s">
        <v>107</v>
      </c>
      <c r="J76" s="51" t="s">
        <v>109</v>
      </c>
      <c r="K76" s="50" t="str">
        <f>"00026733"</f>
        <v>00026733</v>
      </c>
      <c r="L76" s="17"/>
      <c r="M76" s="16"/>
      <c r="N76" s="18"/>
      <c r="O76" s="19"/>
      <c r="P76" s="20"/>
      <c r="Q76" s="21"/>
      <c r="R76" s="18"/>
      <c r="S76" s="17"/>
      <c r="T76" s="18"/>
      <c r="U76" s="18"/>
      <c r="V76" s="18"/>
      <c r="W76" s="17"/>
      <c r="X76" s="17"/>
      <c r="Y76" s="17"/>
      <c r="Z76" s="17"/>
      <c r="AA76" s="17"/>
      <c r="AB76" s="17"/>
      <c r="AC76" s="17"/>
      <c r="AD76" s="17"/>
      <c r="AE76" s="22"/>
      <c r="AF76" s="17"/>
      <c r="AG76" s="16"/>
      <c r="AH76" s="18"/>
      <c r="AI76" s="19"/>
      <c r="AJ76" s="20"/>
      <c r="AK76" s="21"/>
      <c r="AL76" s="18"/>
      <c r="AM76" s="17"/>
      <c r="AN76" s="18"/>
      <c r="AO76" s="18"/>
      <c r="AP76" s="18"/>
      <c r="AQ76" s="17"/>
      <c r="AR76" s="17"/>
      <c r="AS76" s="17"/>
      <c r="AT76" s="17"/>
      <c r="AU76" s="17"/>
      <c r="AV76" s="17"/>
      <c r="AW76" s="17"/>
      <c r="AX76" s="17"/>
      <c r="AY76" s="22"/>
      <c r="AZ76" s="17"/>
      <c r="BA76" s="16"/>
      <c r="BB76" s="18"/>
      <c r="BC76" s="19"/>
      <c r="BD76" s="20"/>
      <c r="BE76" s="21"/>
      <c r="BF76" s="18"/>
      <c r="BG76" s="17"/>
      <c r="BH76" s="18"/>
      <c r="BI76" s="18"/>
      <c r="BJ76" s="18"/>
      <c r="BK76" s="17"/>
      <c r="BL76" s="17"/>
      <c r="BM76" s="17"/>
      <c r="BN76" s="17"/>
      <c r="BO76" s="17"/>
      <c r="BP76" s="17"/>
      <c r="BQ76" s="17"/>
      <c r="BR76" s="17"/>
      <c r="BS76" s="22"/>
      <c r="BT76" s="17"/>
      <c r="BU76" s="16"/>
      <c r="BV76" s="18"/>
      <c r="BW76" s="19"/>
      <c r="BX76" s="20"/>
      <c r="BY76" s="21"/>
      <c r="BZ76" s="18"/>
      <c r="CA76" s="17"/>
      <c r="CB76" s="18"/>
      <c r="CC76" s="18"/>
      <c r="CD76" s="18"/>
      <c r="CE76" s="17"/>
      <c r="CF76" s="17"/>
      <c r="CG76" s="17"/>
      <c r="CH76" s="17"/>
      <c r="CI76" s="17"/>
      <c r="CJ76" s="17"/>
      <c r="CK76" s="17"/>
      <c r="CL76" s="17"/>
      <c r="CM76" s="22"/>
      <c r="CN76" s="17"/>
      <c r="CO76" s="16"/>
      <c r="CP76" s="18"/>
      <c r="CQ76" s="19"/>
      <c r="CR76" s="20"/>
      <c r="CS76" s="21"/>
      <c r="CT76" s="18"/>
      <c r="CU76" s="17"/>
      <c r="CV76" s="18"/>
      <c r="CW76" s="18"/>
      <c r="CX76" s="18"/>
      <c r="CY76" s="17"/>
      <c r="CZ76" s="17"/>
      <c r="DA76" s="25"/>
      <c r="DB76" s="7"/>
      <c r="DC76" s="7"/>
      <c r="DD76" s="7"/>
      <c r="DE76" s="7"/>
      <c r="DF76" s="7"/>
      <c r="DG76" s="11"/>
      <c r="DH76" s="7"/>
      <c r="DI76" s="5"/>
      <c r="DJ76" s="8"/>
      <c r="DK76" s="13"/>
      <c r="DL76" s="9"/>
      <c r="DM76" s="10"/>
      <c r="DN76" s="8"/>
      <c r="DO76" s="7"/>
      <c r="DP76" s="8"/>
      <c r="DQ76" s="8"/>
      <c r="DR76" s="8"/>
      <c r="DS76" s="7"/>
      <c r="DT76" s="7"/>
      <c r="DU76" s="7"/>
      <c r="DV76" s="7"/>
      <c r="DW76" s="7"/>
      <c r="DX76" s="7"/>
      <c r="DY76" s="7"/>
      <c r="DZ76" s="7"/>
      <c r="EA76" s="11"/>
      <c r="EB76" s="7"/>
      <c r="EC76" s="5"/>
      <c r="ED76" s="8"/>
      <c r="EE76" s="13"/>
      <c r="EF76" s="9"/>
      <c r="EG76" s="10"/>
      <c r="EH76" s="8"/>
      <c r="EI76" s="7"/>
      <c r="EJ76" s="8"/>
      <c r="EK76" s="8"/>
      <c r="EL76" s="8"/>
      <c r="EM76" s="7"/>
      <c r="EN76" s="7"/>
      <c r="EO76" s="7"/>
      <c r="EP76" s="7"/>
      <c r="EQ76" s="7"/>
      <c r="ER76" s="7"/>
      <c r="ES76" s="7"/>
      <c r="ET76" s="7"/>
      <c r="EU76" s="11"/>
      <c r="EV76" s="7"/>
      <c r="EW76" s="5"/>
      <c r="EX76" s="8"/>
      <c r="EY76" s="13"/>
      <c r="EZ76" s="9"/>
      <c r="FA76" s="10"/>
      <c r="FB76" s="8"/>
      <c r="FC76" s="7"/>
      <c r="FD76" s="8"/>
      <c r="FE76" s="8"/>
      <c r="FF76" s="8"/>
      <c r="FG76" s="7"/>
      <c r="FH76" s="7"/>
      <c r="FI76" s="7"/>
      <c r="FJ76" s="7"/>
      <c r="FK76" s="7"/>
      <c r="FL76" s="7"/>
      <c r="FM76" s="7"/>
      <c r="FN76" s="7"/>
      <c r="FO76" s="11"/>
      <c r="FP76" s="7"/>
      <c r="FQ76" s="5"/>
      <c r="FR76" s="8"/>
      <c r="FS76" s="13"/>
      <c r="FT76" s="9"/>
      <c r="FU76" s="10"/>
      <c r="FV76" s="8"/>
      <c r="FW76" s="7"/>
      <c r="FX76" s="8"/>
      <c r="FY76" s="8"/>
      <c r="FZ76" s="8"/>
      <c r="GA76" s="7"/>
      <c r="GB76" s="7"/>
      <c r="GC76" s="7"/>
      <c r="GD76" s="7"/>
      <c r="GE76" s="7"/>
      <c r="GF76" s="7"/>
      <c r="GG76" s="7"/>
      <c r="GH76" s="7"/>
      <c r="GI76" s="11"/>
      <c r="GJ76" s="7"/>
      <c r="GK76" s="5"/>
      <c r="GL76" s="8"/>
      <c r="GM76" s="13"/>
      <c r="GN76" s="9"/>
      <c r="GO76" s="10"/>
      <c r="GP76" s="8"/>
      <c r="GQ76" s="7"/>
      <c r="GR76" s="8"/>
      <c r="GS76" s="8"/>
      <c r="GT76" s="8"/>
      <c r="GU76" s="7"/>
      <c r="GV76" s="7"/>
      <c r="GW76" s="7"/>
      <c r="GX76" s="7"/>
      <c r="GY76" s="7"/>
      <c r="GZ76" s="7"/>
      <c r="HA76" s="7"/>
      <c r="HB76" s="7"/>
      <c r="HC76" s="11"/>
      <c r="HD76" s="7"/>
      <c r="HE76" s="5"/>
      <c r="HF76" s="8"/>
      <c r="HG76" s="13"/>
      <c r="HH76" s="9"/>
      <c r="HI76" s="10"/>
      <c r="HJ76" s="8"/>
      <c r="HK76" s="7"/>
      <c r="HL76" s="8"/>
      <c r="HM76" s="8"/>
      <c r="HN76" s="8"/>
      <c r="HO76" s="7"/>
      <c r="HP76" s="7"/>
      <c r="HQ76" s="7"/>
      <c r="HR76" s="7"/>
      <c r="HS76" s="7"/>
      <c r="HT76" s="7"/>
      <c r="HU76" s="7"/>
      <c r="HV76" s="7"/>
      <c r="HW76" s="11"/>
      <c r="HX76" s="7"/>
      <c r="HY76" s="5"/>
      <c r="HZ76" s="8"/>
      <c r="IA76" s="13"/>
      <c r="IB76" s="9"/>
      <c r="IC76" s="10"/>
      <c r="ID76" s="8"/>
      <c r="IE76" s="7"/>
      <c r="IF76" s="8"/>
      <c r="IG76" s="8"/>
      <c r="IH76" s="8"/>
      <c r="II76" s="7"/>
      <c r="IJ76" s="7"/>
      <c r="IK76" s="7"/>
      <c r="IL76" s="7"/>
      <c r="IM76" s="7"/>
    </row>
    <row r="77" spans="1:247" ht="45" customHeight="1">
      <c r="A77" s="30">
        <v>105</v>
      </c>
      <c r="B77" s="45" t="s">
        <v>865</v>
      </c>
      <c r="C77" s="45" t="s">
        <v>38</v>
      </c>
      <c r="D77" s="46"/>
      <c r="E77" s="47">
        <v>120000</v>
      </c>
      <c r="F77" s="48">
        <v>4</v>
      </c>
      <c r="G77" s="49" t="s">
        <v>933</v>
      </c>
      <c r="H77" s="30" t="s">
        <v>934</v>
      </c>
      <c r="I77" s="45" t="s">
        <v>172</v>
      </c>
      <c r="J77" s="45" t="s">
        <v>935</v>
      </c>
      <c r="K77" s="50" t="str">
        <f>"00028647"</f>
        <v>00028647</v>
      </c>
      <c r="L77" s="17"/>
      <c r="M77" s="16"/>
      <c r="N77" s="18"/>
      <c r="O77" s="19"/>
      <c r="P77" s="20"/>
      <c r="Q77" s="21"/>
      <c r="R77" s="18"/>
      <c r="S77" s="17"/>
      <c r="T77" s="18"/>
      <c r="U77" s="18"/>
      <c r="V77" s="18"/>
      <c r="W77" s="17"/>
      <c r="X77" s="17"/>
      <c r="Y77" s="17"/>
      <c r="Z77" s="17"/>
      <c r="AA77" s="17"/>
      <c r="AB77" s="17"/>
      <c r="AC77" s="17"/>
      <c r="AD77" s="17"/>
      <c r="AE77" s="22"/>
      <c r="AF77" s="17"/>
      <c r="AG77" s="16"/>
      <c r="AH77" s="18"/>
      <c r="AI77" s="19"/>
      <c r="AJ77" s="20"/>
      <c r="AK77" s="21"/>
      <c r="AL77" s="18"/>
      <c r="AM77" s="17"/>
      <c r="AN77" s="18"/>
      <c r="AO77" s="18"/>
      <c r="AP77" s="18"/>
      <c r="AQ77" s="17"/>
      <c r="AR77" s="17"/>
      <c r="AS77" s="17"/>
      <c r="AT77" s="17"/>
      <c r="AU77" s="17"/>
      <c r="AV77" s="17"/>
      <c r="AW77" s="17"/>
      <c r="AX77" s="17"/>
      <c r="AY77" s="22"/>
      <c r="AZ77" s="17"/>
      <c r="BA77" s="16"/>
      <c r="BB77" s="18"/>
      <c r="BC77" s="19"/>
      <c r="BD77" s="20"/>
      <c r="BE77" s="21"/>
      <c r="BF77" s="18"/>
      <c r="BG77" s="17"/>
      <c r="BH77" s="18"/>
      <c r="BI77" s="18"/>
      <c r="BJ77" s="18"/>
      <c r="BK77" s="17"/>
      <c r="BL77" s="17"/>
      <c r="BM77" s="17"/>
      <c r="BN77" s="17"/>
      <c r="BO77" s="17"/>
      <c r="BP77" s="17"/>
      <c r="BQ77" s="17"/>
      <c r="BR77" s="17"/>
      <c r="BS77" s="22"/>
      <c r="BT77" s="17"/>
      <c r="BU77" s="16"/>
      <c r="BV77" s="18"/>
      <c r="BW77" s="19"/>
      <c r="BX77" s="20"/>
      <c r="BY77" s="21"/>
      <c r="BZ77" s="18"/>
      <c r="CA77" s="17"/>
      <c r="CB77" s="18"/>
      <c r="CC77" s="18"/>
      <c r="CD77" s="18"/>
      <c r="CE77" s="17"/>
      <c r="CF77" s="17"/>
      <c r="CG77" s="17"/>
      <c r="CH77" s="17"/>
      <c r="CI77" s="17"/>
      <c r="CJ77" s="17"/>
      <c r="CK77" s="17"/>
      <c r="CL77" s="17"/>
      <c r="CM77" s="22"/>
      <c r="CN77" s="17"/>
      <c r="CO77" s="16"/>
      <c r="CP77" s="18"/>
      <c r="CQ77" s="19"/>
      <c r="CR77" s="20"/>
      <c r="CS77" s="21"/>
      <c r="CT77" s="18"/>
      <c r="CU77" s="17"/>
      <c r="CV77" s="18"/>
      <c r="CW77" s="18"/>
      <c r="CX77" s="18"/>
      <c r="CY77" s="17"/>
      <c r="CZ77" s="17"/>
      <c r="DA77" s="25"/>
      <c r="DB77" s="7"/>
      <c r="DC77" s="7"/>
      <c r="DD77" s="7"/>
      <c r="DE77" s="7"/>
      <c r="DF77" s="7"/>
      <c r="DG77" s="11"/>
      <c r="DH77" s="7"/>
      <c r="DI77" s="5"/>
      <c r="DJ77" s="8"/>
      <c r="DK77" s="13"/>
      <c r="DL77" s="9"/>
      <c r="DM77" s="10"/>
      <c r="DN77" s="8"/>
      <c r="DO77" s="7"/>
      <c r="DP77" s="8"/>
      <c r="DQ77" s="8"/>
      <c r="DR77" s="8"/>
      <c r="DS77" s="7"/>
      <c r="DT77" s="7"/>
      <c r="DU77" s="7"/>
      <c r="DV77" s="7"/>
      <c r="DW77" s="7"/>
      <c r="DX77" s="7"/>
      <c r="DY77" s="7"/>
      <c r="DZ77" s="7"/>
      <c r="EA77" s="11"/>
      <c r="EB77" s="7"/>
      <c r="EC77" s="5"/>
      <c r="ED77" s="8"/>
      <c r="EE77" s="13"/>
      <c r="EF77" s="9"/>
      <c r="EG77" s="10"/>
      <c r="EH77" s="8"/>
      <c r="EI77" s="7"/>
      <c r="EJ77" s="8"/>
      <c r="EK77" s="8"/>
      <c r="EL77" s="8"/>
      <c r="EM77" s="7"/>
      <c r="EN77" s="7"/>
      <c r="EO77" s="7"/>
      <c r="EP77" s="7"/>
      <c r="EQ77" s="7"/>
      <c r="ER77" s="7"/>
      <c r="ES77" s="7"/>
      <c r="ET77" s="7"/>
      <c r="EU77" s="11"/>
      <c r="EV77" s="7"/>
      <c r="EW77" s="5"/>
      <c r="EX77" s="8"/>
      <c r="EY77" s="13"/>
      <c r="EZ77" s="9"/>
      <c r="FA77" s="10"/>
      <c r="FB77" s="8"/>
      <c r="FC77" s="7"/>
      <c r="FD77" s="8"/>
      <c r="FE77" s="8"/>
      <c r="FF77" s="8"/>
      <c r="FG77" s="7"/>
      <c r="FH77" s="7"/>
      <c r="FI77" s="7"/>
      <c r="FJ77" s="7"/>
      <c r="FK77" s="7"/>
      <c r="FL77" s="7"/>
      <c r="FM77" s="7"/>
      <c r="FN77" s="7"/>
      <c r="FO77" s="11"/>
      <c r="FP77" s="7"/>
      <c r="FQ77" s="5"/>
      <c r="FR77" s="8"/>
      <c r="FS77" s="13"/>
      <c r="FT77" s="9"/>
      <c r="FU77" s="10"/>
      <c r="FV77" s="8"/>
      <c r="FW77" s="7"/>
      <c r="FX77" s="8"/>
      <c r="FY77" s="8"/>
      <c r="FZ77" s="8"/>
      <c r="GA77" s="7"/>
      <c r="GB77" s="7"/>
      <c r="GC77" s="7"/>
      <c r="GD77" s="7"/>
      <c r="GE77" s="7"/>
      <c r="GF77" s="7"/>
      <c r="GG77" s="7"/>
      <c r="GH77" s="7"/>
      <c r="GI77" s="11"/>
      <c r="GJ77" s="7"/>
      <c r="GK77" s="5"/>
      <c r="GL77" s="8"/>
      <c r="GM77" s="13"/>
      <c r="GN77" s="9"/>
      <c r="GO77" s="10"/>
      <c r="GP77" s="8"/>
      <c r="GQ77" s="7"/>
      <c r="GR77" s="8"/>
      <c r="GS77" s="8"/>
      <c r="GT77" s="8"/>
      <c r="GU77" s="7"/>
      <c r="GV77" s="7"/>
      <c r="GW77" s="7"/>
      <c r="GX77" s="7"/>
      <c r="GY77" s="7"/>
      <c r="GZ77" s="7"/>
      <c r="HA77" s="7"/>
      <c r="HB77" s="7"/>
      <c r="HC77" s="11"/>
      <c r="HD77" s="7"/>
      <c r="HE77" s="5"/>
      <c r="HF77" s="8"/>
      <c r="HG77" s="13"/>
      <c r="HH77" s="9"/>
      <c r="HI77" s="10"/>
      <c r="HJ77" s="8"/>
      <c r="HK77" s="7"/>
      <c r="HL77" s="8"/>
      <c r="HM77" s="8"/>
      <c r="HN77" s="8"/>
      <c r="HO77" s="7"/>
      <c r="HP77" s="7"/>
      <c r="HQ77" s="7"/>
      <c r="HR77" s="7"/>
      <c r="HS77" s="7"/>
      <c r="HT77" s="7"/>
      <c r="HU77" s="7"/>
      <c r="HV77" s="7"/>
      <c r="HW77" s="11"/>
      <c r="HX77" s="7"/>
      <c r="HY77" s="5"/>
      <c r="HZ77" s="8"/>
      <c r="IA77" s="13"/>
      <c r="IB77" s="9"/>
      <c r="IC77" s="10"/>
      <c r="ID77" s="8"/>
      <c r="IE77" s="7"/>
      <c r="IF77" s="8"/>
      <c r="IG77" s="8"/>
      <c r="IH77" s="8"/>
      <c r="II77" s="7"/>
      <c r="IJ77" s="7"/>
      <c r="IK77" s="7"/>
      <c r="IL77" s="7"/>
      <c r="IM77" s="7"/>
    </row>
    <row r="78" spans="1:247" ht="45" customHeight="1">
      <c r="A78" s="30">
        <v>105</v>
      </c>
      <c r="B78" s="45" t="s">
        <v>945</v>
      </c>
      <c r="C78" s="45" t="s">
        <v>38</v>
      </c>
      <c r="D78" s="46"/>
      <c r="E78" s="47">
        <v>44378</v>
      </c>
      <c r="F78" s="48">
        <v>4</v>
      </c>
      <c r="G78" s="45" t="s">
        <v>946</v>
      </c>
      <c r="H78" s="30" t="s">
        <v>947</v>
      </c>
      <c r="I78" s="45" t="s">
        <v>111</v>
      </c>
      <c r="J78" s="45" t="s">
        <v>948</v>
      </c>
      <c r="K78" s="62" t="s">
        <v>5959</v>
      </c>
      <c r="L78" s="17"/>
      <c r="M78" s="16"/>
      <c r="N78" s="18"/>
      <c r="O78" s="19"/>
      <c r="P78" s="20"/>
      <c r="Q78" s="21"/>
      <c r="R78" s="18"/>
      <c r="S78" s="17"/>
      <c r="T78" s="18"/>
      <c r="U78" s="18"/>
      <c r="V78" s="18"/>
      <c r="W78" s="17"/>
      <c r="X78" s="17"/>
      <c r="Y78" s="17"/>
      <c r="Z78" s="17"/>
      <c r="AA78" s="17"/>
      <c r="AB78" s="17"/>
      <c r="AC78" s="17"/>
      <c r="AD78" s="17"/>
      <c r="AE78" s="22"/>
      <c r="AF78" s="17"/>
      <c r="AG78" s="16"/>
      <c r="AH78" s="18"/>
      <c r="AI78" s="19"/>
      <c r="AJ78" s="20"/>
      <c r="AK78" s="21"/>
      <c r="AL78" s="18"/>
      <c r="AM78" s="17"/>
      <c r="AN78" s="18"/>
      <c r="AO78" s="18"/>
      <c r="AP78" s="18"/>
      <c r="AQ78" s="17"/>
      <c r="AR78" s="17"/>
      <c r="AS78" s="17"/>
      <c r="AT78" s="17"/>
      <c r="AU78" s="17"/>
      <c r="AV78" s="17"/>
      <c r="AW78" s="17"/>
      <c r="AX78" s="17"/>
      <c r="AY78" s="22"/>
      <c r="AZ78" s="17"/>
      <c r="BA78" s="16"/>
      <c r="BB78" s="18"/>
      <c r="BC78" s="19"/>
      <c r="BD78" s="20"/>
      <c r="BE78" s="21"/>
      <c r="BF78" s="18"/>
      <c r="BG78" s="17"/>
      <c r="BH78" s="18"/>
      <c r="BI78" s="18"/>
      <c r="BJ78" s="18"/>
      <c r="BK78" s="17"/>
      <c r="BL78" s="17"/>
      <c r="BM78" s="17"/>
      <c r="BN78" s="17"/>
      <c r="BO78" s="17"/>
      <c r="BP78" s="17"/>
      <c r="BQ78" s="17"/>
      <c r="BR78" s="17"/>
      <c r="BS78" s="22"/>
      <c r="BT78" s="17"/>
      <c r="BU78" s="16"/>
      <c r="BV78" s="18"/>
      <c r="BW78" s="19"/>
      <c r="BX78" s="20"/>
      <c r="BY78" s="21"/>
      <c r="BZ78" s="18"/>
      <c r="CA78" s="17"/>
      <c r="CB78" s="18"/>
      <c r="CC78" s="18"/>
      <c r="CD78" s="18"/>
      <c r="CE78" s="17"/>
      <c r="CF78" s="17"/>
      <c r="CG78" s="17"/>
      <c r="CH78" s="17"/>
      <c r="CI78" s="17"/>
      <c r="CJ78" s="17"/>
      <c r="CK78" s="17"/>
      <c r="CL78" s="17"/>
      <c r="CM78" s="22"/>
      <c r="CN78" s="17"/>
      <c r="CO78" s="16"/>
      <c r="CP78" s="18"/>
      <c r="CQ78" s="19"/>
      <c r="CR78" s="20"/>
      <c r="CS78" s="21"/>
      <c r="CT78" s="18"/>
      <c r="CU78" s="17"/>
      <c r="CV78" s="18"/>
      <c r="CW78" s="18"/>
      <c r="CX78" s="18"/>
      <c r="CY78" s="17"/>
      <c r="CZ78" s="17"/>
      <c r="DA78" s="25"/>
      <c r="DB78" s="7"/>
      <c r="DC78" s="7"/>
      <c r="DD78" s="7"/>
      <c r="DE78" s="7"/>
      <c r="DF78" s="7"/>
      <c r="DG78" s="11"/>
      <c r="DH78" s="7"/>
      <c r="DI78" s="5"/>
      <c r="DJ78" s="8"/>
      <c r="DK78" s="13"/>
      <c r="DL78" s="9"/>
      <c r="DM78" s="10"/>
      <c r="DN78" s="8"/>
      <c r="DO78" s="7"/>
      <c r="DP78" s="8"/>
      <c r="DQ78" s="8"/>
      <c r="DR78" s="8"/>
      <c r="DS78" s="7"/>
      <c r="DT78" s="7"/>
      <c r="DU78" s="7"/>
      <c r="DV78" s="7"/>
      <c r="DW78" s="7"/>
      <c r="DX78" s="7"/>
      <c r="DY78" s="7"/>
      <c r="DZ78" s="7"/>
      <c r="EA78" s="11"/>
      <c r="EB78" s="7"/>
      <c r="EC78" s="5"/>
      <c r="ED78" s="8"/>
      <c r="EE78" s="13"/>
      <c r="EF78" s="9"/>
      <c r="EG78" s="10"/>
      <c r="EH78" s="8"/>
      <c r="EI78" s="7"/>
      <c r="EJ78" s="8"/>
      <c r="EK78" s="8"/>
      <c r="EL78" s="8"/>
      <c r="EM78" s="7"/>
      <c r="EN78" s="7"/>
      <c r="EO78" s="7"/>
      <c r="EP78" s="7"/>
      <c r="EQ78" s="7"/>
      <c r="ER78" s="7"/>
      <c r="ES78" s="7"/>
      <c r="ET78" s="7"/>
      <c r="EU78" s="11"/>
      <c r="EV78" s="7"/>
      <c r="EW78" s="5"/>
      <c r="EX78" s="8"/>
      <c r="EY78" s="13"/>
      <c r="EZ78" s="9"/>
      <c r="FA78" s="10"/>
      <c r="FB78" s="8"/>
      <c r="FC78" s="7"/>
      <c r="FD78" s="8"/>
      <c r="FE78" s="8"/>
      <c r="FF78" s="8"/>
      <c r="FG78" s="7"/>
      <c r="FH78" s="7"/>
      <c r="FI78" s="7"/>
      <c r="FJ78" s="7"/>
      <c r="FK78" s="7"/>
      <c r="FL78" s="7"/>
      <c r="FM78" s="7"/>
      <c r="FN78" s="7"/>
      <c r="FO78" s="11"/>
      <c r="FP78" s="7"/>
      <c r="FQ78" s="5"/>
      <c r="FR78" s="8"/>
      <c r="FS78" s="13"/>
      <c r="FT78" s="9"/>
      <c r="FU78" s="10"/>
      <c r="FV78" s="8"/>
      <c r="FW78" s="7"/>
      <c r="FX78" s="8"/>
      <c r="FY78" s="8"/>
      <c r="FZ78" s="8"/>
      <c r="GA78" s="7"/>
      <c r="GB78" s="7"/>
      <c r="GC78" s="7"/>
      <c r="GD78" s="7"/>
      <c r="GE78" s="7"/>
      <c r="GF78" s="7"/>
      <c r="GG78" s="7"/>
      <c r="GH78" s="7"/>
      <c r="GI78" s="11"/>
      <c r="GJ78" s="7"/>
      <c r="GK78" s="5"/>
      <c r="GL78" s="8"/>
      <c r="GM78" s="13"/>
      <c r="GN78" s="9"/>
      <c r="GO78" s="10"/>
      <c r="GP78" s="8"/>
      <c r="GQ78" s="7"/>
      <c r="GR78" s="8"/>
      <c r="GS78" s="8"/>
      <c r="GT78" s="8"/>
      <c r="GU78" s="7"/>
      <c r="GV78" s="7"/>
      <c r="GW78" s="7"/>
      <c r="GX78" s="7"/>
      <c r="GY78" s="7"/>
      <c r="GZ78" s="7"/>
      <c r="HA78" s="7"/>
      <c r="HB78" s="7"/>
      <c r="HC78" s="11"/>
      <c r="HD78" s="7"/>
      <c r="HE78" s="5"/>
      <c r="HF78" s="8"/>
      <c r="HG78" s="13"/>
      <c r="HH78" s="9"/>
      <c r="HI78" s="10"/>
      <c r="HJ78" s="8"/>
      <c r="HK78" s="7"/>
      <c r="HL78" s="8"/>
      <c r="HM78" s="8"/>
      <c r="HN78" s="8"/>
      <c r="HO78" s="7"/>
      <c r="HP78" s="7"/>
      <c r="HQ78" s="7"/>
      <c r="HR78" s="7"/>
      <c r="HS78" s="7"/>
      <c r="HT78" s="7"/>
      <c r="HU78" s="7"/>
      <c r="HV78" s="7"/>
      <c r="HW78" s="11"/>
      <c r="HX78" s="7"/>
      <c r="HY78" s="5"/>
      <c r="HZ78" s="8"/>
      <c r="IA78" s="13"/>
      <c r="IB78" s="9"/>
      <c r="IC78" s="10"/>
      <c r="ID78" s="8"/>
      <c r="IE78" s="7"/>
      <c r="IF78" s="8"/>
      <c r="IG78" s="8"/>
      <c r="IH78" s="8"/>
      <c r="II78" s="7"/>
      <c r="IJ78" s="7"/>
      <c r="IK78" s="7"/>
      <c r="IL78" s="7"/>
      <c r="IM78" s="7"/>
    </row>
    <row r="79" spans="1:247" ht="45" customHeight="1">
      <c r="A79" s="30">
        <v>105</v>
      </c>
      <c r="B79" s="51" t="s">
        <v>212</v>
      </c>
      <c r="C79" s="45" t="s">
        <v>38</v>
      </c>
      <c r="D79" s="46"/>
      <c r="E79" s="47">
        <v>32824</v>
      </c>
      <c r="F79" s="48">
        <v>4</v>
      </c>
      <c r="G79" s="45" t="s">
        <v>949</v>
      </c>
      <c r="H79" s="30" t="s">
        <v>950</v>
      </c>
      <c r="I79" s="45" t="s">
        <v>100</v>
      </c>
      <c r="J79" s="45" t="s">
        <v>951</v>
      </c>
      <c r="K79" s="62" t="s">
        <v>5960</v>
      </c>
      <c r="L79" s="17"/>
      <c r="M79" s="16"/>
      <c r="N79" s="18"/>
      <c r="O79" s="19"/>
      <c r="P79" s="20"/>
      <c r="Q79" s="21"/>
      <c r="R79" s="18"/>
      <c r="S79" s="17"/>
      <c r="T79" s="18"/>
      <c r="U79" s="18"/>
      <c r="V79" s="18"/>
      <c r="W79" s="17"/>
      <c r="X79" s="17"/>
      <c r="Y79" s="17"/>
      <c r="Z79" s="17"/>
      <c r="AA79" s="17"/>
      <c r="AB79" s="17"/>
      <c r="AC79" s="17"/>
      <c r="AD79" s="17"/>
      <c r="AE79" s="22"/>
      <c r="AF79" s="17"/>
      <c r="AG79" s="16"/>
      <c r="AH79" s="18"/>
      <c r="AI79" s="19"/>
      <c r="AJ79" s="20"/>
      <c r="AK79" s="21"/>
      <c r="AL79" s="18"/>
      <c r="AM79" s="17"/>
      <c r="AN79" s="18"/>
      <c r="AO79" s="18"/>
      <c r="AP79" s="18"/>
      <c r="AQ79" s="17"/>
      <c r="AR79" s="17"/>
      <c r="AS79" s="17"/>
      <c r="AT79" s="17"/>
      <c r="AU79" s="17"/>
      <c r="AV79" s="17"/>
      <c r="AW79" s="17"/>
      <c r="AX79" s="17"/>
      <c r="AY79" s="22"/>
      <c r="AZ79" s="17"/>
      <c r="BA79" s="16"/>
      <c r="BB79" s="18"/>
      <c r="BC79" s="19"/>
      <c r="BD79" s="20"/>
      <c r="BE79" s="21"/>
      <c r="BF79" s="18"/>
      <c r="BG79" s="17"/>
      <c r="BH79" s="18"/>
      <c r="BI79" s="18"/>
      <c r="BJ79" s="18"/>
      <c r="BK79" s="17"/>
      <c r="BL79" s="17"/>
      <c r="BM79" s="17"/>
      <c r="BN79" s="17"/>
      <c r="BO79" s="17"/>
      <c r="BP79" s="17"/>
      <c r="BQ79" s="17"/>
      <c r="BR79" s="17"/>
      <c r="BS79" s="22"/>
      <c r="BT79" s="17"/>
      <c r="BU79" s="16"/>
      <c r="BV79" s="18"/>
      <c r="BW79" s="19"/>
      <c r="BX79" s="20"/>
      <c r="BY79" s="21"/>
      <c r="BZ79" s="18"/>
      <c r="CA79" s="17"/>
      <c r="CB79" s="18"/>
      <c r="CC79" s="18"/>
      <c r="CD79" s="18"/>
      <c r="CE79" s="17"/>
      <c r="CF79" s="17"/>
      <c r="CG79" s="17"/>
      <c r="CH79" s="17"/>
      <c r="CI79" s="17"/>
      <c r="CJ79" s="17"/>
      <c r="CK79" s="17"/>
      <c r="CL79" s="17"/>
      <c r="CM79" s="22"/>
      <c r="CN79" s="17"/>
      <c r="CO79" s="16"/>
      <c r="CP79" s="18"/>
      <c r="CQ79" s="19"/>
      <c r="CR79" s="20"/>
      <c r="CS79" s="21"/>
      <c r="CT79" s="18"/>
      <c r="CU79" s="17"/>
      <c r="CV79" s="18"/>
      <c r="CW79" s="18"/>
      <c r="CX79" s="18"/>
      <c r="CY79" s="17"/>
      <c r="CZ79" s="17"/>
      <c r="DA79" s="25"/>
      <c r="DB79" s="7"/>
      <c r="DC79" s="7"/>
      <c r="DD79" s="7"/>
      <c r="DE79" s="7"/>
      <c r="DF79" s="7"/>
      <c r="DG79" s="11"/>
      <c r="DH79" s="7"/>
      <c r="DI79" s="5"/>
      <c r="DJ79" s="8"/>
      <c r="DK79" s="13"/>
      <c r="DL79" s="9"/>
      <c r="DM79" s="10"/>
      <c r="DN79" s="8"/>
      <c r="DO79" s="7"/>
      <c r="DP79" s="8"/>
      <c r="DQ79" s="8"/>
      <c r="DR79" s="8"/>
      <c r="DS79" s="7"/>
      <c r="DT79" s="7"/>
      <c r="DU79" s="7"/>
      <c r="DV79" s="7"/>
      <c r="DW79" s="7"/>
      <c r="DX79" s="7"/>
      <c r="DY79" s="7"/>
      <c r="DZ79" s="7"/>
      <c r="EA79" s="11"/>
      <c r="EB79" s="7"/>
      <c r="EC79" s="5"/>
      <c r="ED79" s="8"/>
      <c r="EE79" s="13"/>
      <c r="EF79" s="9"/>
      <c r="EG79" s="10"/>
      <c r="EH79" s="8"/>
      <c r="EI79" s="7"/>
      <c r="EJ79" s="8"/>
      <c r="EK79" s="8"/>
      <c r="EL79" s="8"/>
      <c r="EM79" s="7"/>
      <c r="EN79" s="7"/>
      <c r="EO79" s="7"/>
      <c r="EP79" s="7"/>
      <c r="EQ79" s="7"/>
      <c r="ER79" s="7"/>
      <c r="ES79" s="7"/>
      <c r="ET79" s="7"/>
      <c r="EU79" s="11"/>
      <c r="EV79" s="7"/>
      <c r="EW79" s="5"/>
      <c r="EX79" s="8"/>
      <c r="EY79" s="13"/>
      <c r="EZ79" s="9"/>
      <c r="FA79" s="10"/>
      <c r="FB79" s="8"/>
      <c r="FC79" s="7"/>
      <c r="FD79" s="8"/>
      <c r="FE79" s="8"/>
      <c r="FF79" s="8"/>
      <c r="FG79" s="7"/>
      <c r="FH79" s="7"/>
      <c r="FI79" s="7"/>
      <c r="FJ79" s="7"/>
      <c r="FK79" s="7"/>
      <c r="FL79" s="7"/>
      <c r="FM79" s="7"/>
      <c r="FN79" s="7"/>
      <c r="FO79" s="11"/>
      <c r="FP79" s="7"/>
      <c r="FQ79" s="5"/>
      <c r="FR79" s="8"/>
      <c r="FS79" s="13"/>
      <c r="FT79" s="9"/>
      <c r="FU79" s="10"/>
      <c r="FV79" s="8"/>
      <c r="FW79" s="7"/>
      <c r="FX79" s="8"/>
      <c r="FY79" s="8"/>
      <c r="FZ79" s="8"/>
      <c r="GA79" s="7"/>
      <c r="GB79" s="7"/>
      <c r="GC79" s="7"/>
      <c r="GD79" s="7"/>
      <c r="GE79" s="7"/>
      <c r="GF79" s="7"/>
      <c r="GG79" s="7"/>
      <c r="GH79" s="7"/>
      <c r="GI79" s="11"/>
      <c r="GJ79" s="7"/>
      <c r="GK79" s="5"/>
      <c r="GL79" s="8"/>
      <c r="GM79" s="13"/>
      <c r="GN79" s="9"/>
      <c r="GO79" s="10"/>
      <c r="GP79" s="8"/>
      <c r="GQ79" s="7"/>
      <c r="GR79" s="8"/>
      <c r="GS79" s="8"/>
      <c r="GT79" s="8"/>
      <c r="GU79" s="7"/>
      <c r="GV79" s="7"/>
      <c r="GW79" s="7"/>
      <c r="GX79" s="7"/>
      <c r="GY79" s="7"/>
      <c r="GZ79" s="7"/>
      <c r="HA79" s="7"/>
      <c r="HB79" s="7"/>
      <c r="HC79" s="11"/>
      <c r="HD79" s="7"/>
      <c r="HE79" s="5"/>
      <c r="HF79" s="8"/>
      <c r="HG79" s="13"/>
      <c r="HH79" s="9"/>
      <c r="HI79" s="10"/>
      <c r="HJ79" s="8"/>
      <c r="HK79" s="7"/>
      <c r="HL79" s="8"/>
      <c r="HM79" s="8"/>
      <c r="HN79" s="8"/>
      <c r="HO79" s="7"/>
      <c r="HP79" s="7"/>
      <c r="HQ79" s="7"/>
      <c r="HR79" s="7"/>
      <c r="HS79" s="7"/>
      <c r="HT79" s="7"/>
      <c r="HU79" s="7"/>
      <c r="HV79" s="7"/>
      <c r="HW79" s="11"/>
      <c r="HX79" s="7"/>
      <c r="HY79" s="5"/>
      <c r="HZ79" s="8"/>
      <c r="IA79" s="13"/>
      <c r="IB79" s="9"/>
      <c r="IC79" s="10"/>
      <c r="ID79" s="8"/>
      <c r="IE79" s="7"/>
      <c r="IF79" s="8"/>
      <c r="IG79" s="8"/>
      <c r="IH79" s="8"/>
      <c r="II79" s="7"/>
      <c r="IJ79" s="7"/>
      <c r="IK79" s="7"/>
      <c r="IL79" s="7"/>
      <c r="IM79" s="7"/>
    </row>
    <row r="80" spans="1:104" ht="45" customHeight="1">
      <c r="A80" s="30">
        <v>105</v>
      </c>
      <c r="B80" s="45" t="s">
        <v>921</v>
      </c>
      <c r="C80" s="45" t="s">
        <v>38</v>
      </c>
      <c r="D80" s="46"/>
      <c r="E80" s="47">
        <v>15400</v>
      </c>
      <c r="F80" s="48">
        <v>4</v>
      </c>
      <c r="G80" s="45" t="s">
        <v>922</v>
      </c>
      <c r="H80" s="30" t="s">
        <v>923</v>
      </c>
      <c r="I80" s="45" t="s">
        <v>92</v>
      </c>
      <c r="J80" s="45" t="s">
        <v>110</v>
      </c>
      <c r="K80" s="61" t="s">
        <v>5957</v>
      </c>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row>
    <row r="81" spans="1:104" ht="45" customHeight="1">
      <c r="A81" s="30">
        <v>105</v>
      </c>
      <c r="B81" s="49" t="s">
        <v>248</v>
      </c>
      <c r="C81" s="45" t="s">
        <v>38</v>
      </c>
      <c r="D81" s="46"/>
      <c r="E81" s="47">
        <v>59792</v>
      </c>
      <c r="F81" s="48">
        <v>4</v>
      </c>
      <c r="G81" s="49" t="s">
        <v>5554</v>
      </c>
      <c r="H81" s="30" t="s">
        <v>929</v>
      </c>
      <c r="I81" s="45" t="s">
        <v>104</v>
      </c>
      <c r="J81" s="45" t="s">
        <v>176</v>
      </c>
      <c r="K81" s="61" t="s">
        <v>5958</v>
      </c>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row>
    <row r="82" spans="1:104" ht="45" customHeight="1">
      <c r="A82" s="30">
        <v>105</v>
      </c>
      <c r="B82" s="49" t="s">
        <v>924</v>
      </c>
      <c r="C82" s="45" t="s">
        <v>38</v>
      </c>
      <c r="D82" s="46"/>
      <c r="E82" s="47">
        <v>53768</v>
      </c>
      <c r="F82" s="48">
        <v>4</v>
      </c>
      <c r="G82" s="45" t="s">
        <v>925</v>
      </c>
      <c r="H82" s="30" t="s">
        <v>926</v>
      </c>
      <c r="I82" s="49" t="s">
        <v>927</v>
      </c>
      <c r="J82" s="53" t="s">
        <v>928</v>
      </c>
      <c r="K82" s="50" t="str">
        <f>"00028694"</f>
        <v>00028694</v>
      </c>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row>
    <row r="83" spans="1:104" ht="45" customHeight="1">
      <c r="A83" s="30">
        <v>105</v>
      </c>
      <c r="B83" s="45" t="s">
        <v>930</v>
      </c>
      <c r="C83" s="45" t="s">
        <v>38</v>
      </c>
      <c r="D83" s="46"/>
      <c r="E83" s="47">
        <v>229969</v>
      </c>
      <c r="F83" s="48">
        <v>4</v>
      </c>
      <c r="G83" s="45" t="s">
        <v>931</v>
      </c>
      <c r="H83" s="30" t="s">
        <v>932</v>
      </c>
      <c r="I83" s="45" t="s">
        <v>107</v>
      </c>
      <c r="J83" s="45" t="s">
        <v>315</v>
      </c>
      <c r="K83" s="50" t="str">
        <f>"00027359"</f>
        <v>00027359</v>
      </c>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row>
    <row r="84" spans="1:104" ht="45" customHeight="1">
      <c r="A84" s="30">
        <v>105</v>
      </c>
      <c r="B84" s="45" t="s">
        <v>865</v>
      </c>
      <c r="C84" s="45" t="s">
        <v>38</v>
      </c>
      <c r="D84" s="46"/>
      <c r="E84" s="47">
        <v>37000</v>
      </c>
      <c r="F84" s="48">
        <v>4</v>
      </c>
      <c r="G84" s="45" t="s">
        <v>5555</v>
      </c>
      <c r="H84" s="30" t="s">
        <v>884</v>
      </c>
      <c r="I84" s="45" t="s">
        <v>150</v>
      </c>
      <c r="J84" s="45" t="s">
        <v>883</v>
      </c>
      <c r="K84" s="61" t="s">
        <v>5961</v>
      </c>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row>
    <row r="85" spans="1:104" ht="45" customHeight="1">
      <c r="A85" s="30">
        <v>105</v>
      </c>
      <c r="B85" s="51" t="s">
        <v>3</v>
      </c>
      <c r="C85" s="45" t="s">
        <v>38</v>
      </c>
      <c r="D85" s="46"/>
      <c r="E85" s="47">
        <v>90969</v>
      </c>
      <c r="F85" s="48">
        <v>4</v>
      </c>
      <c r="G85" s="45" t="s">
        <v>5556</v>
      </c>
      <c r="H85" s="30" t="s">
        <v>885</v>
      </c>
      <c r="I85" s="45" t="s">
        <v>222</v>
      </c>
      <c r="J85" s="45" t="s">
        <v>223</v>
      </c>
      <c r="K85" s="61" t="s">
        <v>5962</v>
      </c>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row>
    <row r="86" spans="1:104" ht="45" customHeight="1">
      <c r="A86" s="30">
        <v>105</v>
      </c>
      <c r="B86" s="51" t="s">
        <v>237</v>
      </c>
      <c r="C86" s="45" t="s">
        <v>38</v>
      </c>
      <c r="D86" s="46"/>
      <c r="E86" s="47">
        <v>36532</v>
      </c>
      <c r="F86" s="48">
        <v>4</v>
      </c>
      <c r="G86" s="45" t="s">
        <v>878</v>
      </c>
      <c r="H86" s="30" t="s">
        <v>879</v>
      </c>
      <c r="I86" s="45" t="s">
        <v>100</v>
      </c>
      <c r="J86" s="45" t="s">
        <v>880</v>
      </c>
      <c r="K86" s="61" t="s">
        <v>5963</v>
      </c>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row>
    <row r="87" spans="1:104" ht="45" customHeight="1">
      <c r="A87" s="30">
        <v>105</v>
      </c>
      <c r="B87" s="51" t="s">
        <v>3</v>
      </c>
      <c r="C87" s="45" t="s">
        <v>38</v>
      </c>
      <c r="D87" s="46"/>
      <c r="E87" s="47">
        <v>471720</v>
      </c>
      <c r="F87" s="48">
        <v>4</v>
      </c>
      <c r="G87" s="45" t="s">
        <v>5557</v>
      </c>
      <c r="H87" s="30" t="s">
        <v>904</v>
      </c>
      <c r="I87" s="45" t="s">
        <v>222</v>
      </c>
      <c r="J87" s="45" t="s">
        <v>223</v>
      </c>
      <c r="K87" s="61" t="s">
        <v>5964</v>
      </c>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row>
    <row r="88" spans="1:104" s="15" customFormat="1" ht="45" customHeight="1">
      <c r="A88" s="30">
        <v>105</v>
      </c>
      <c r="B88" s="45" t="s">
        <v>886</v>
      </c>
      <c r="C88" s="45" t="s">
        <v>38</v>
      </c>
      <c r="D88" s="46"/>
      <c r="E88" s="47">
        <v>48474</v>
      </c>
      <c r="F88" s="48">
        <v>4</v>
      </c>
      <c r="G88" s="49" t="s">
        <v>887</v>
      </c>
      <c r="H88" s="30" t="s">
        <v>888</v>
      </c>
      <c r="I88" s="45" t="s">
        <v>111</v>
      </c>
      <c r="J88" s="49" t="s">
        <v>889</v>
      </c>
      <c r="K88" s="61" t="s">
        <v>5965</v>
      </c>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row>
    <row r="89" spans="1:11" ht="45" customHeight="1">
      <c r="A89" s="30">
        <v>105</v>
      </c>
      <c r="B89" s="45" t="s">
        <v>245</v>
      </c>
      <c r="C89" s="45" t="s">
        <v>38</v>
      </c>
      <c r="D89" s="46"/>
      <c r="E89" s="47">
        <v>101962</v>
      </c>
      <c r="F89" s="48">
        <v>4</v>
      </c>
      <c r="G89" s="45" t="s">
        <v>5558</v>
      </c>
      <c r="H89" s="30" t="s">
        <v>892</v>
      </c>
      <c r="I89" s="45" t="s">
        <v>92</v>
      </c>
      <c r="J89" s="45" t="s">
        <v>325</v>
      </c>
      <c r="K89" s="61" t="s">
        <v>5966</v>
      </c>
    </row>
    <row r="90" spans="1:11" ht="45" customHeight="1">
      <c r="A90" s="30">
        <v>105</v>
      </c>
      <c r="B90" s="45" t="s">
        <v>865</v>
      </c>
      <c r="C90" s="45" t="s">
        <v>38</v>
      </c>
      <c r="D90" s="46"/>
      <c r="E90" s="47">
        <v>30500</v>
      </c>
      <c r="F90" s="48">
        <v>4</v>
      </c>
      <c r="G90" s="45" t="s">
        <v>881</v>
      </c>
      <c r="H90" s="30" t="s">
        <v>882</v>
      </c>
      <c r="I90" s="45" t="s">
        <v>150</v>
      </c>
      <c r="J90" s="45" t="s">
        <v>883</v>
      </c>
      <c r="K90" s="61" t="s">
        <v>5967</v>
      </c>
    </row>
    <row r="91" spans="1:11" ht="45" customHeight="1">
      <c r="A91" s="30">
        <v>105</v>
      </c>
      <c r="B91" s="49" t="s">
        <v>890</v>
      </c>
      <c r="C91" s="45" t="s">
        <v>38</v>
      </c>
      <c r="D91" s="46"/>
      <c r="E91" s="47">
        <v>104407</v>
      </c>
      <c r="F91" s="48">
        <v>4</v>
      </c>
      <c r="G91" s="45" t="s">
        <v>5559</v>
      </c>
      <c r="H91" s="30" t="s">
        <v>891</v>
      </c>
      <c r="I91" s="45" t="s">
        <v>104</v>
      </c>
      <c r="J91" s="45" t="s">
        <v>176</v>
      </c>
      <c r="K91" s="61" t="s">
        <v>5968</v>
      </c>
    </row>
    <row r="92" spans="1:11" ht="45" customHeight="1">
      <c r="A92" s="30">
        <v>105</v>
      </c>
      <c r="B92" s="49" t="s">
        <v>248</v>
      </c>
      <c r="C92" s="45" t="s">
        <v>38</v>
      </c>
      <c r="D92" s="46"/>
      <c r="E92" s="47">
        <v>593800</v>
      </c>
      <c r="F92" s="48">
        <v>4</v>
      </c>
      <c r="G92" s="45" t="s">
        <v>5560</v>
      </c>
      <c r="H92" s="30" t="s">
        <v>911</v>
      </c>
      <c r="I92" s="45" t="s">
        <v>222</v>
      </c>
      <c r="J92" s="45" t="s">
        <v>223</v>
      </c>
      <c r="K92" s="61" t="s">
        <v>5969</v>
      </c>
    </row>
    <row r="93" spans="1:11" ht="45" customHeight="1">
      <c r="A93" s="30">
        <v>105</v>
      </c>
      <c r="B93" s="45" t="s">
        <v>226</v>
      </c>
      <c r="C93" s="45" t="s">
        <v>38</v>
      </c>
      <c r="D93" s="46"/>
      <c r="E93" s="47">
        <v>64103</v>
      </c>
      <c r="F93" s="48">
        <v>4</v>
      </c>
      <c r="G93" s="45" t="s">
        <v>5561</v>
      </c>
      <c r="H93" s="30" t="s">
        <v>893</v>
      </c>
      <c r="I93" s="45" t="s">
        <v>92</v>
      </c>
      <c r="J93" s="45" t="s">
        <v>894</v>
      </c>
      <c r="K93" s="63" t="s">
        <v>6074</v>
      </c>
    </row>
    <row r="94" spans="1:247" s="26" customFormat="1" ht="45" customHeight="1">
      <c r="A94" s="30">
        <v>105</v>
      </c>
      <c r="B94" s="45" t="s">
        <v>895</v>
      </c>
      <c r="C94" s="45" t="s">
        <v>38</v>
      </c>
      <c r="D94" s="46"/>
      <c r="E94" s="47">
        <v>10000</v>
      </c>
      <c r="F94" s="48">
        <v>4</v>
      </c>
      <c r="G94" s="49" t="s">
        <v>896</v>
      </c>
      <c r="H94" s="30" t="s">
        <v>897</v>
      </c>
      <c r="I94" s="45" t="s">
        <v>100</v>
      </c>
      <c r="J94" s="45" t="s">
        <v>880</v>
      </c>
      <c r="K94" s="50" t="str">
        <f>"00028334"</f>
        <v>00028334</v>
      </c>
      <c r="L94" s="28"/>
      <c r="M94" s="16"/>
      <c r="N94" s="18"/>
      <c r="O94" s="19"/>
      <c r="P94" s="20"/>
      <c r="Q94" s="21"/>
      <c r="R94" s="18"/>
      <c r="S94" s="17"/>
      <c r="T94" s="18"/>
      <c r="U94" s="18"/>
      <c r="V94" s="18"/>
      <c r="W94" s="17"/>
      <c r="X94" s="17"/>
      <c r="Y94" s="17"/>
      <c r="Z94" s="17"/>
      <c r="AA94" s="17"/>
      <c r="AB94" s="17"/>
      <c r="AC94" s="17"/>
      <c r="AD94" s="17"/>
      <c r="AE94" s="22"/>
      <c r="AF94" s="17"/>
      <c r="AG94" s="16"/>
      <c r="AH94" s="18"/>
      <c r="AI94" s="19"/>
      <c r="AJ94" s="20"/>
      <c r="AK94" s="21"/>
      <c r="AL94" s="18"/>
      <c r="AM94" s="17"/>
      <c r="AN94" s="18"/>
      <c r="AO94" s="18"/>
      <c r="AP94" s="18"/>
      <c r="AQ94" s="17"/>
      <c r="AR94" s="17"/>
      <c r="AS94" s="17"/>
      <c r="AT94" s="17"/>
      <c r="AU94" s="17"/>
      <c r="AV94" s="17"/>
      <c r="AW94" s="17"/>
      <c r="AX94" s="17"/>
      <c r="AY94" s="22"/>
      <c r="AZ94" s="17"/>
      <c r="BA94" s="16"/>
      <c r="BB94" s="18"/>
      <c r="BC94" s="19"/>
      <c r="BD94" s="20"/>
      <c r="BE94" s="21"/>
      <c r="BF94" s="18"/>
      <c r="BG94" s="17"/>
      <c r="BH94" s="18"/>
      <c r="BI94" s="18"/>
      <c r="BJ94" s="18"/>
      <c r="BK94" s="17"/>
      <c r="BL94" s="17"/>
      <c r="BM94" s="17"/>
      <c r="BN94" s="17"/>
      <c r="BO94" s="17"/>
      <c r="BP94" s="17"/>
      <c r="BQ94" s="17"/>
      <c r="BR94" s="17"/>
      <c r="BS94" s="22"/>
      <c r="BT94" s="17"/>
      <c r="BU94" s="16"/>
      <c r="BV94" s="18"/>
      <c r="BW94" s="19"/>
      <c r="BX94" s="20"/>
      <c r="BY94" s="21"/>
      <c r="BZ94" s="18"/>
      <c r="CA94" s="17"/>
      <c r="CB94" s="18"/>
      <c r="CC94" s="18"/>
      <c r="CD94" s="18"/>
      <c r="CE94" s="17"/>
      <c r="CF94" s="17"/>
      <c r="CG94" s="17"/>
      <c r="CH94" s="17"/>
      <c r="CI94" s="17"/>
      <c r="CJ94" s="17"/>
      <c r="CK94" s="17"/>
      <c r="CL94" s="17"/>
      <c r="CM94" s="22"/>
      <c r="CN94" s="17"/>
      <c r="CO94" s="16"/>
      <c r="CP94" s="18"/>
      <c r="CQ94" s="19"/>
      <c r="CR94" s="20"/>
      <c r="CS94" s="21"/>
      <c r="CT94" s="18"/>
      <c r="CU94" s="17"/>
      <c r="CV94" s="18"/>
      <c r="CW94" s="18"/>
      <c r="CX94" s="18"/>
      <c r="CY94" s="17"/>
      <c r="CZ94" s="17"/>
      <c r="DA94" s="17"/>
      <c r="DB94" s="17"/>
      <c r="DC94" s="17"/>
      <c r="DD94" s="17"/>
      <c r="DE94" s="17"/>
      <c r="DF94" s="17"/>
      <c r="DG94" s="22"/>
      <c r="DH94" s="17"/>
      <c r="DI94" s="16"/>
      <c r="DJ94" s="18"/>
      <c r="DK94" s="19"/>
      <c r="DL94" s="20"/>
      <c r="DM94" s="21"/>
      <c r="DN94" s="18"/>
      <c r="DO94" s="17"/>
      <c r="DP94" s="18"/>
      <c r="DQ94" s="18"/>
      <c r="DR94" s="18"/>
      <c r="DS94" s="17"/>
      <c r="DT94" s="17"/>
      <c r="DU94" s="17"/>
      <c r="DV94" s="17"/>
      <c r="DW94" s="17"/>
      <c r="DX94" s="17"/>
      <c r="DY94" s="17"/>
      <c r="DZ94" s="17"/>
      <c r="EA94" s="22"/>
      <c r="EB94" s="17"/>
      <c r="EC94" s="16"/>
      <c r="ED94" s="18"/>
      <c r="EE94" s="19"/>
      <c r="EF94" s="20"/>
      <c r="EG94" s="21"/>
      <c r="EH94" s="18"/>
      <c r="EI94" s="17"/>
      <c r="EJ94" s="18"/>
      <c r="EK94" s="18"/>
      <c r="EL94" s="18"/>
      <c r="EM94" s="17"/>
      <c r="EN94" s="17"/>
      <c r="EO94" s="17"/>
      <c r="EP94" s="17"/>
      <c r="EQ94" s="17"/>
      <c r="ER94" s="17"/>
      <c r="ES94" s="17"/>
      <c r="ET94" s="17"/>
      <c r="EU94" s="22"/>
      <c r="EV94" s="17"/>
      <c r="EW94" s="16"/>
      <c r="EX94" s="18"/>
      <c r="EY94" s="19"/>
      <c r="EZ94" s="20"/>
      <c r="FA94" s="21"/>
      <c r="FB94" s="18"/>
      <c r="FC94" s="17"/>
      <c r="FD94" s="18"/>
      <c r="FE94" s="18"/>
      <c r="FF94" s="18"/>
      <c r="FG94" s="17"/>
      <c r="FH94" s="17"/>
      <c r="FI94" s="17"/>
      <c r="FJ94" s="17"/>
      <c r="FK94" s="17"/>
      <c r="FL94" s="17"/>
      <c r="FM94" s="17"/>
      <c r="FN94" s="17"/>
      <c r="FO94" s="22"/>
      <c r="FP94" s="17"/>
      <c r="FQ94" s="16"/>
      <c r="FR94" s="18"/>
      <c r="FS94" s="19"/>
      <c r="FT94" s="20"/>
      <c r="FU94" s="21"/>
      <c r="FV94" s="18"/>
      <c r="FW94" s="17"/>
      <c r="FX94" s="18"/>
      <c r="FY94" s="18"/>
      <c r="FZ94" s="18"/>
      <c r="GA94" s="17"/>
      <c r="GB94" s="17"/>
      <c r="GC94" s="17"/>
      <c r="GD94" s="17"/>
      <c r="GE94" s="17"/>
      <c r="GF94" s="17"/>
      <c r="GG94" s="17"/>
      <c r="GH94" s="17"/>
      <c r="GI94" s="22"/>
      <c r="GJ94" s="17"/>
      <c r="GK94" s="16"/>
      <c r="GL94" s="18"/>
      <c r="GM94" s="19"/>
      <c r="GN94" s="20"/>
      <c r="GO94" s="21"/>
      <c r="GP94" s="18"/>
      <c r="GQ94" s="17"/>
      <c r="GR94" s="18"/>
      <c r="GS94" s="18"/>
      <c r="GT94" s="18"/>
      <c r="GU94" s="17"/>
      <c r="GV94" s="17"/>
      <c r="GW94" s="17"/>
      <c r="GX94" s="17"/>
      <c r="GY94" s="17"/>
      <c r="GZ94" s="17"/>
      <c r="HA94" s="17"/>
      <c r="HB94" s="17"/>
      <c r="HC94" s="22"/>
      <c r="HD94" s="17"/>
      <c r="HE94" s="16"/>
      <c r="HF94" s="18"/>
      <c r="HG94" s="19"/>
      <c r="HH94" s="20"/>
      <c r="HI94" s="21"/>
      <c r="HJ94" s="18"/>
      <c r="HK94" s="17"/>
      <c r="HL94" s="18"/>
      <c r="HM94" s="18"/>
      <c r="HN94" s="18"/>
      <c r="HO94" s="17"/>
      <c r="HP94" s="17"/>
      <c r="HQ94" s="17"/>
      <c r="HR94" s="17"/>
      <c r="HS94" s="17"/>
      <c r="HT94" s="17"/>
      <c r="HU94" s="17"/>
      <c r="HV94" s="17"/>
      <c r="HW94" s="22"/>
      <c r="HX94" s="17"/>
      <c r="HY94" s="16"/>
      <c r="HZ94" s="18"/>
      <c r="IA94" s="19"/>
      <c r="IB94" s="20"/>
      <c r="IC94" s="21"/>
      <c r="ID94" s="18"/>
      <c r="IE94" s="17"/>
      <c r="IF94" s="18"/>
      <c r="IG94" s="18"/>
      <c r="IH94" s="18"/>
      <c r="II94" s="17"/>
      <c r="IJ94" s="17"/>
      <c r="IK94" s="17"/>
      <c r="IL94" s="17"/>
      <c r="IM94" s="17"/>
    </row>
    <row r="95" spans="1:247" s="26" customFormat="1" ht="45" customHeight="1">
      <c r="A95" s="30">
        <v>105</v>
      </c>
      <c r="B95" s="45" t="s">
        <v>865</v>
      </c>
      <c r="C95" s="45" t="s">
        <v>38</v>
      </c>
      <c r="D95" s="46"/>
      <c r="E95" s="47">
        <v>32525</v>
      </c>
      <c r="F95" s="48">
        <v>4</v>
      </c>
      <c r="G95" s="51" t="s">
        <v>902</v>
      </c>
      <c r="H95" s="30" t="s">
        <v>903</v>
      </c>
      <c r="I95" s="45" t="s">
        <v>100</v>
      </c>
      <c r="J95" s="45" t="s">
        <v>101</v>
      </c>
      <c r="K95" s="61" t="s">
        <v>5970</v>
      </c>
      <c r="L95" s="28"/>
      <c r="M95" s="16"/>
      <c r="N95" s="18"/>
      <c r="O95" s="19"/>
      <c r="P95" s="20"/>
      <c r="Q95" s="21"/>
      <c r="R95" s="18"/>
      <c r="S95" s="17"/>
      <c r="T95" s="18"/>
      <c r="U95" s="18"/>
      <c r="V95" s="18"/>
      <c r="W95" s="17"/>
      <c r="X95" s="17"/>
      <c r="Y95" s="17"/>
      <c r="Z95" s="17"/>
      <c r="AA95" s="17"/>
      <c r="AB95" s="17"/>
      <c r="AC95" s="17"/>
      <c r="AD95" s="17"/>
      <c r="AE95" s="22"/>
      <c r="AF95" s="17"/>
      <c r="AG95" s="16"/>
      <c r="AH95" s="18"/>
      <c r="AI95" s="19"/>
      <c r="AJ95" s="20"/>
      <c r="AK95" s="21"/>
      <c r="AL95" s="18"/>
      <c r="AM95" s="17"/>
      <c r="AN95" s="18"/>
      <c r="AO95" s="18"/>
      <c r="AP95" s="18"/>
      <c r="AQ95" s="17"/>
      <c r="AR95" s="17"/>
      <c r="AS95" s="17"/>
      <c r="AT95" s="17"/>
      <c r="AU95" s="17"/>
      <c r="AV95" s="17"/>
      <c r="AW95" s="17"/>
      <c r="AX95" s="17"/>
      <c r="AY95" s="22"/>
      <c r="AZ95" s="17"/>
      <c r="BA95" s="16"/>
      <c r="BB95" s="18"/>
      <c r="BC95" s="19"/>
      <c r="BD95" s="20"/>
      <c r="BE95" s="21"/>
      <c r="BF95" s="18"/>
      <c r="BG95" s="17"/>
      <c r="BH95" s="18"/>
      <c r="BI95" s="18"/>
      <c r="BJ95" s="18"/>
      <c r="BK95" s="17"/>
      <c r="BL95" s="17"/>
      <c r="BM95" s="17"/>
      <c r="BN95" s="17"/>
      <c r="BO95" s="17"/>
      <c r="BP95" s="17"/>
      <c r="BQ95" s="17"/>
      <c r="BR95" s="17"/>
      <c r="BS95" s="22"/>
      <c r="BT95" s="17"/>
      <c r="BU95" s="16"/>
      <c r="BV95" s="18"/>
      <c r="BW95" s="19"/>
      <c r="BX95" s="20"/>
      <c r="BY95" s="21"/>
      <c r="BZ95" s="18"/>
      <c r="CA95" s="17"/>
      <c r="CB95" s="18"/>
      <c r="CC95" s="18"/>
      <c r="CD95" s="18"/>
      <c r="CE95" s="17"/>
      <c r="CF95" s="17"/>
      <c r="CG95" s="17"/>
      <c r="CH95" s="17"/>
      <c r="CI95" s="17"/>
      <c r="CJ95" s="17"/>
      <c r="CK95" s="17"/>
      <c r="CL95" s="17"/>
      <c r="CM95" s="22"/>
      <c r="CN95" s="17"/>
      <c r="CO95" s="16"/>
      <c r="CP95" s="18"/>
      <c r="CQ95" s="19"/>
      <c r="CR95" s="20"/>
      <c r="CS95" s="21"/>
      <c r="CT95" s="18"/>
      <c r="CU95" s="17"/>
      <c r="CV95" s="18"/>
      <c r="CW95" s="18"/>
      <c r="CX95" s="18"/>
      <c r="CY95" s="17"/>
      <c r="CZ95" s="17"/>
      <c r="DA95" s="17"/>
      <c r="DB95" s="17"/>
      <c r="DC95" s="17"/>
      <c r="DD95" s="17"/>
      <c r="DE95" s="17"/>
      <c r="DF95" s="17"/>
      <c r="DG95" s="22"/>
      <c r="DH95" s="17"/>
      <c r="DI95" s="16"/>
      <c r="DJ95" s="18"/>
      <c r="DK95" s="19"/>
      <c r="DL95" s="20"/>
      <c r="DM95" s="21"/>
      <c r="DN95" s="18"/>
      <c r="DO95" s="17"/>
      <c r="DP95" s="18"/>
      <c r="DQ95" s="18"/>
      <c r="DR95" s="18"/>
      <c r="DS95" s="17"/>
      <c r="DT95" s="17"/>
      <c r="DU95" s="17"/>
      <c r="DV95" s="17"/>
      <c r="DW95" s="17"/>
      <c r="DX95" s="17"/>
      <c r="DY95" s="17"/>
      <c r="DZ95" s="17"/>
      <c r="EA95" s="22"/>
      <c r="EB95" s="17"/>
      <c r="EC95" s="16"/>
      <c r="ED95" s="18"/>
      <c r="EE95" s="19"/>
      <c r="EF95" s="20"/>
      <c r="EG95" s="21"/>
      <c r="EH95" s="18"/>
      <c r="EI95" s="17"/>
      <c r="EJ95" s="18"/>
      <c r="EK95" s="18"/>
      <c r="EL95" s="18"/>
      <c r="EM95" s="17"/>
      <c r="EN95" s="17"/>
      <c r="EO95" s="17"/>
      <c r="EP95" s="17"/>
      <c r="EQ95" s="17"/>
      <c r="ER95" s="17"/>
      <c r="ES95" s="17"/>
      <c r="ET95" s="17"/>
      <c r="EU95" s="22"/>
      <c r="EV95" s="17"/>
      <c r="EW95" s="16"/>
      <c r="EX95" s="18"/>
      <c r="EY95" s="19"/>
      <c r="EZ95" s="20"/>
      <c r="FA95" s="21"/>
      <c r="FB95" s="18"/>
      <c r="FC95" s="17"/>
      <c r="FD95" s="18"/>
      <c r="FE95" s="18"/>
      <c r="FF95" s="18"/>
      <c r="FG95" s="17"/>
      <c r="FH95" s="17"/>
      <c r="FI95" s="17"/>
      <c r="FJ95" s="17"/>
      <c r="FK95" s="17"/>
      <c r="FL95" s="17"/>
      <c r="FM95" s="17"/>
      <c r="FN95" s="17"/>
      <c r="FO95" s="22"/>
      <c r="FP95" s="17"/>
      <c r="FQ95" s="16"/>
      <c r="FR95" s="18"/>
      <c r="FS95" s="19"/>
      <c r="FT95" s="20"/>
      <c r="FU95" s="21"/>
      <c r="FV95" s="18"/>
      <c r="FW95" s="17"/>
      <c r="FX95" s="18"/>
      <c r="FY95" s="18"/>
      <c r="FZ95" s="18"/>
      <c r="GA95" s="17"/>
      <c r="GB95" s="17"/>
      <c r="GC95" s="17"/>
      <c r="GD95" s="17"/>
      <c r="GE95" s="17"/>
      <c r="GF95" s="17"/>
      <c r="GG95" s="17"/>
      <c r="GH95" s="17"/>
      <c r="GI95" s="22"/>
      <c r="GJ95" s="17"/>
      <c r="GK95" s="16"/>
      <c r="GL95" s="18"/>
      <c r="GM95" s="19"/>
      <c r="GN95" s="20"/>
      <c r="GO95" s="21"/>
      <c r="GP95" s="18"/>
      <c r="GQ95" s="17"/>
      <c r="GR95" s="18"/>
      <c r="GS95" s="18"/>
      <c r="GT95" s="18"/>
      <c r="GU95" s="17"/>
      <c r="GV95" s="17"/>
      <c r="GW95" s="17"/>
      <c r="GX95" s="17"/>
      <c r="GY95" s="17"/>
      <c r="GZ95" s="17"/>
      <c r="HA95" s="17"/>
      <c r="HB95" s="17"/>
      <c r="HC95" s="22"/>
      <c r="HD95" s="17"/>
      <c r="HE95" s="16"/>
      <c r="HF95" s="18"/>
      <c r="HG95" s="19"/>
      <c r="HH95" s="20"/>
      <c r="HI95" s="21"/>
      <c r="HJ95" s="18"/>
      <c r="HK95" s="17"/>
      <c r="HL95" s="18"/>
      <c r="HM95" s="18"/>
      <c r="HN95" s="18"/>
      <c r="HO95" s="17"/>
      <c r="HP95" s="17"/>
      <c r="HQ95" s="17"/>
      <c r="HR95" s="17"/>
      <c r="HS95" s="17"/>
      <c r="HT95" s="17"/>
      <c r="HU95" s="17"/>
      <c r="HV95" s="17"/>
      <c r="HW95" s="22"/>
      <c r="HX95" s="17"/>
      <c r="HY95" s="16"/>
      <c r="HZ95" s="18"/>
      <c r="IA95" s="19"/>
      <c r="IB95" s="20"/>
      <c r="IC95" s="21"/>
      <c r="ID95" s="18"/>
      <c r="IE95" s="17"/>
      <c r="IF95" s="18"/>
      <c r="IG95" s="18"/>
      <c r="IH95" s="18"/>
      <c r="II95" s="17"/>
      <c r="IJ95" s="17"/>
      <c r="IK95" s="17"/>
      <c r="IL95" s="17"/>
      <c r="IM95" s="17"/>
    </row>
    <row r="96" spans="1:247" s="26" customFormat="1" ht="45" customHeight="1">
      <c r="A96" s="30">
        <v>105</v>
      </c>
      <c r="B96" s="45" t="s">
        <v>898</v>
      </c>
      <c r="C96" s="45" t="s">
        <v>38</v>
      </c>
      <c r="D96" s="46"/>
      <c r="E96" s="47">
        <v>82036</v>
      </c>
      <c r="F96" s="48">
        <v>4</v>
      </c>
      <c r="G96" s="49" t="s">
        <v>899</v>
      </c>
      <c r="H96" s="30" t="s">
        <v>900</v>
      </c>
      <c r="I96" s="45" t="s">
        <v>152</v>
      </c>
      <c r="J96" s="45" t="s">
        <v>901</v>
      </c>
      <c r="K96" s="63" t="s">
        <v>5979</v>
      </c>
      <c r="L96" s="28"/>
      <c r="M96" s="16"/>
      <c r="N96" s="18"/>
      <c r="O96" s="19"/>
      <c r="P96" s="20"/>
      <c r="Q96" s="21"/>
      <c r="R96" s="18"/>
      <c r="S96" s="17"/>
      <c r="T96" s="18"/>
      <c r="U96" s="18"/>
      <c r="V96" s="18"/>
      <c r="W96" s="17"/>
      <c r="X96" s="17"/>
      <c r="Y96" s="17"/>
      <c r="Z96" s="17"/>
      <c r="AA96" s="17"/>
      <c r="AB96" s="17"/>
      <c r="AC96" s="17"/>
      <c r="AD96" s="17"/>
      <c r="AE96" s="22"/>
      <c r="AF96" s="17"/>
      <c r="AG96" s="16"/>
      <c r="AH96" s="18"/>
      <c r="AI96" s="19"/>
      <c r="AJ96" s="20"/>
      <c r="AK96" s="21"/>
      <c r="AL96" s="18"/>
      <c r="AM96" s="17"/>
      <c r="AN96" s="18"/>
      <c r="AO96" s="18"/>
      <c r="AP96" s="18"/>
      <c r="AQ96" s="17"/>
      <c r="AR96" s="17"/>
      <c r="AS96" s="17"/>
      <c r="AT96" s="17"/>
      <c r="AU96" s="17"/>
      <c r="AV96" s="17"/>
      <c r="AW96" s="17"/>
      <c r="AX96" s="17"/>
      <c r="AY96" s="22"/>
      <c r="AZ96" s="17"/>
      <c r="BA96" s="16"/>
      <c r="BB96" s="18"/>
      <c r="BC96" s="19"/>
      <c r="BD96" s="20"/>
      <c r="BE96" s="21"/>
      <c r="BF96" s="18"/>
      <c r="BG96" s="17"/>
      <c r="BH96" s="18"/>
      <c r="BI96" s="18"/>
      <c r="BJ96" s="18"/>
      <c r="BK96" s="17"/>
      <c r="BL96" s="17"/>
      <c r="BM96" s="17"/>
      <c r="BN96" s="17"/>
      <c r="BO96" s="17"/>
      <c r="BP96" s="17"/>
      <c r="BQ96" s="17"/>
      <c r="BR96" s="17"/>
      <c r="BS96" s="22"/>
      <c r="BT96" s="17"/>
      <c r="BU96" s="16"/>
      <c r="BV96" s="18"/>
      <c r="BW96" s="19"/>
      <c r="BX96" s="20"/>
      <c r="BY96" s="21"/>
      <c r="BZ96" s="18"/>
      <c r="CA96" s="17"/>
      <c r="CB96" s="18"/>
      <c r="CC96" s="18"/>
      <c r="CD96" s="18"/>
      <c r="CE96" s="17"/>
      <c r="CF96" s="17"/>
      <c r="CG96" s="17"/>
      <c r="CH96" s="17"/>
      <c r="CI96" s="17"/>
      <c r="CJ96" s="17"/>
      <c r="CK96" s="17"/>
      <c r="CL96" s="17"/>
      <c r="CM96" s="22"/>
      <c r="CN96" s="17"/>
      <c r="CO96" s="16"/>
      <c r="CP96" s="18"/>
      <c r="CQ96" s="19"/>
      <c r="CR96" s="20"/>
      <c r="CS96" s="21"/>
      <c r="CT96" s="18"/>
      <c r="CU96" s="17"/>
      <c r="CV96" s="18"/>
      <c r="CW96" s="18"/>
      <c r="CX96" s="18"/>
      <c r="CY96" s="17"/>
      <c r="CZ96" s="17"/>
      <c r="DA96" s="17"/>
      <c r="DB96" s="17"/>
      <c r="DC96" s="17"/>
      <c r="DD96" s="17"/>
      <c r="DE96" s="17"/>
      <c r="DF96" s="17"/>
      <c r="DG96" s="22"/>
      <c r="DH96" s="17"/>
      <c r="DI96" s="16"/>
      <c r="DJ96" s="18"/>
      <c r="DK96" s="19"/>
      <c r="DL96" s="20"/>
      <c r="DM96" s="21"/>
      <c r="DN96" s="18"/>
      <c r="DO96" s="17"/>
      <c r="DP96" s="18"/>
      <c r="DQ96" s="18"/>
      <c r="DR96" s="18"/>
      <c r="DS96" s="17"/>
      <c r="DT96" s="17"/>
      <c r="DU96" s="17"/>
      <c r="DV96" s="17"/>
      <c r="DW96" s="17"/>
      <c r="DX96" s="17"/>
      <c r="DY96" s="17"/>
      <c r="DZ96" s="17"/>
      <c r="EA96" s="22"/>
      <c r="EB96" s="17"/>
      <c r="EC96" s="16"/>
      <c r="ED96" s="18"/>
      <c r="EE96" s="19"/>
      <c r="EF96" s="20"/>
      <c r="EG96" s="21"/>
      <c r="EH96" s="18"/>
      <c r="EI96" s="17"/>
      <c r="EJ96" s="18"/>
      <c r="EK96" s="18"/>
      <c r="EL96" s="18"/>
      <c r="EM96" s="17"/>
      <c r="EN96" s="17"/>
      <c r="EO96" s="17"/>
      <c r="EP96" s="17"/>
      <c r="EQ96" s="17"/>
      <c r="ER96" s="17"/>
      <c r="ES96" s="17"/>
      <c r="ET96" s="17"/>
      <c r="EU96" s="22"/>
      <c r="EV96" s="17"/>
      <c r="EW96" s="16"/>
      <c r="EX96" s="18"/>
      <c r="EY96" s="19"/>
      <c r="EZ96" s="20"/>
      <c r="FA96" s="21"/>
      <c r="FB96" s="18"/>
      <c r="FC96" s="17"/>
      <c r="FD96" s="18"/>
      <c r="FE96" s="18"/>
      <c r="FF96" s="18"/>
      <c r="FG96" s="17"/>
      <c r="FH96" s="17"/>
      <c r="FI96" s="17"/>
      <c r="FJ96" s="17"/>
      <c r="FK96" s="17"/>
      <c r="FL96" s="17"/>
      <c r="FM96" s="17"/>
      <c r="FN96" s="17"/>
      <c r="FO96" s="22"/>
      <c r="FP96" s="17"/>
      <c r="FQ96" s="16"/>
      <c r="FR96" s="18"/>
      <c r="FS96" s="19"/>
      <c r="FT96" s="20"/>
      <c r="FU96" s="21"/>
      <c r="FV96" s="18"/>
      <c r="FW96" s="17"/>
      <c r="FX96" s="18"/>
      <c r="FY96" s="18"/>
      <c r="FZ96" s="18"/>
      <c r="GA96" s="17"/>
      <c r="GB96" s="17"/>
      <c r="GC96" s="17"/>
      <c r="GD96" s="17"/>
      <c r="GE96" s="17"/>
      <c r="GF96" s="17"/>
      <c r="GG96" s="17"/>
      <c r="GH96" s="17"/>
      <c r="GI96" s="22"/>
      <c r="GJ96" s="17"/>
      <c r="GK96" s="16"/>
      <c r="GL96" s="18"/>
      <c r="GM96" s="19"/>
      <c r="GN96" s="20"/>
      <c r="GO96" s="21"/>
      <c r="GP96" s="18"/>
      <c r="GQ96" s="17"/>
      <c r="GR96" s="18"/>
      <c r="GS96" s="18"/>
      <c r="GT96" s="18"/>
      <c r="GU96" s="17"/>
      <c r="GV96" s="17"/>
      <c r="GW96" s="17"/>
      <c r="GX96" s="17"/>
      <c r="GY96" s="17"/>
      <c r="GZ96" s="17"/>
      <c r="HA96" s="17"/>
      <c r="HB96" s="17"/>
      <c r="HC96" s="22"/>
      <c r="HD96" s="17"/>
      <c r="HE96" s="16"/>
      <c r="HF96" s="18"/>
      <c r="HG96" s="19"/>
      <c r="HH96" s="20"/>
      <c r="HI96" s="21"/>
      <c r="HJ96" s="18"/>
      <c r="HK96" s="17"/>
      <c r="HL96" s="18"/>
      <c r="HM96" s="18"/>
      <c r="HN96" s="18"/>
      <c r="HO96" s="17"/>
      <c r="HP96" s="17"/>
      <c r="HQ96" s="17"/>
      <c r="HR96" s="17"/>
      <c r="HS96" s="17"/>
      <c r="HT96" s="17"/>
      <c r="HU96" s="17"/>
      <c r="HV96" s="17"/>
      <c r="HW96" s="22"/>
      <c r="HX96" s="17"/>
      <c r="HY96" s="16"/>
      <c r="HZ96" s="18"/>
      <c r="IA96" s="19"/>
      <c r="IB96" s="20"/>
      <c r="IC96" s="21"/>
      <c r="ID96" s="18"/>
      <c r="IE96" s="17"/>
      <c r="IF96" s="18"/>
      <c r="IG96" s="18"/>
      <c r="IH96" s="18"/>
      <c r="II96" s="17"/>
      <c r="IJ96" s="17"/>
      <c r="IK96" s="17"/>
      <c r="IL96" s="17"/>
      <c r="IM96" s="17"/>
    </row>
    <row r="97" spans="1:247" s="26" customFormat="1" ht="45" customHeight="1">
      <c r="A97" s="30">
        <v>105</v>
      </c>
      <c r="B97" s="51" t="s">
        <v>3</v>
      </c>
      <c r="C97" s="45" t="s">
        <v>38</v>
      </c>
      <c r="D97" s="46"/>
      <c r="E97" s="47">
        <v>52504</v>
      </c>
      <c r="F97" s="48">
        <v>4</v>
      </c>
      <c r="G97" s="51" t="s">
        <v>5562</v>
      </c>
      <c r="H97" s="30" t="s">
        <v>905</v>
      </c>
      <c r="I97" s="45" t="s">
        <v>92</v>
      </c>
      <c r="J97" s="45" t="s">
        <v>156</v>
      </c>
      <c r="K97" s="61" t="s">
        <v>5971</v>
      </c>
      <c r="L97" s="28"/>
      <c r="M97" s="16"/>
      <c r="N97" s="18"/>
      <c r="O97" s="19"/>
      <c r="P97" s="20"/>
      <c r="Q97" s="21"/>
      <c r="R97" s="18"/>
      <c r="S97" s="17"/>
      <c r="T97" s="18"/>
      <c r="U97" s="18"/>
      <c r="V97" s="18"/>
      <c r="W97" s="17"/>
      <c r="X97" s="17"/>
      <c r="Y97" s="17"/>
      <c r="Z97" s="17"/>
      <c r="AA97" s="17"/>
      <c r="AB97" s="17"/>
      <c r="AC97" s="17"/>
      <c r="AD97" s="17"/>
      <c r="AE97" s="22"/>
      <c r="AF97" s="17"/>
      <c r="AG97" s="16"/>
      <c r="AH97" s="18"/>
      <c r="AI97" s="19"/>
      <c r="AJ97" s="20"/>
      <c r="AK97" s="21"/>
      <c r="AL97" s="18"/>
      <c r="AM97" s="17"/>
      <c r="AN97" s="18"/>
      <c r="AO97" s="18"/>
      <c r="AP97" s="18"/>
      <c r="AQ97" s="17"/>
      <c r="AR97" s="17"/>
      <c r="AS97" s="17"/>
      <c r="AT97" s="17"/>
      <c r="AU97" s="17"/>
      <c r="AV97" s="17"/>
      <c r="AW97" s="17"/>
      <c r="AX97" s="17"/>
      <c r="AY97" s="22"/>
      <c r="AZ97" s="17"/>
      <c r="BA97" s="16"/>
      <c r="BB97" s="18"/>
      <c r="BC97" s="19"/>
      <c r="BD97" s="20"/>
      <c r="BE97" s="21"/>
      <c r="BF97" s="18"/>
      <c r="BG97" s="17"/>
      <c r="BH97" s="18"/>
      <c r="BI97" s="18"/>
      <c r="BJ97" s="18"/>
      <c r="BK97" s="17"/>
      <c r="BL97" s="17"/>
      <c r="BM97" s="17"/>
      <c r="BN97" s="17"/>
      <c r="BO97" s="17"/>
      <c r="BP97" s="17"/>
      <c r="BQ97" s="17"/>
      <c r="BR97" s="17"/>
      <c r="BS97" s="22"/>
      <c r="BT97" s="17"/>
      <c r="BU97" s="16"/>
      <c r="BV97" s="18"/>
      <c r="BW97" s="19"/>
      <c r="BX97" s="20"/>
      <c r="BY97" s="21"/>
      <c r="BZ97" s="18"/>
      <c r="CA97" s="17"/>
      <c r="CB97" s="18"/>
      <c r="CC97" s="18"/>
      <c r="CD97" s="18"/>
      <c r="CE97" s="17"/>
      <c r="CF97" s="17"/>
      <c r="CG97" s="17"/>
      <c r="CH97" s="17"/>
      <c r="CI97" s="17"/>
      <c r="CJ97" s="17"/>
      <c r="CK97" s="17"/>
      <c r="CL97" s="17"/>
      <c r="CM97" s="22"/>
      <c r="CN97" s="17"/>
      <c r="CO97" s="16"/>
      <c r="CP97" s="18"/>
      <c r="CQ97" s="19"/>
      <c r="CR97" s="20"/>
      <c r="CS97" s="21"/>
      <c r="CT97" s="18"/>
      <c r="CU97" s="17"/>
      <c r="CV97" s="18"/>
      <c r="CW97" s="18"/>
      <c r="CX97" s="18"/>
      <c r="CY97" s="17"/>
      <c r="CZ97" s="17"/>
      <c r="DA97" s="17"/>
      <c r="DB97" s="17"/>
      <c r="DC97" s="17"/>
      <c r="DD97" s="17"/>
      <c r="DE97" s="17"/>
      <c r="DF97" s="17"/>
      <c r="DG97" s="22"/>
      <c r="DH97" s="17"/>
      <c r="DI97" s="16"/>
      <c r="DJ97" s="18"/>
      <c r="DK97" s="19"/>
      <c r="DL97" s="20"/>
      <c r="DM97" s="21"/>
      <c r="DN97" s="18"/>
      <c r="DO97" s="17"/>
      <c r="DP97" s="18"/>
      <c r="DQ97" s="18"/>
      <c r="DR97" s="18"/>
      <c r="DS97" s="17"/>
      <c r="DT97" s="17"/>
      <c r="DU97" s="17"/>
      <c r="DV97" s="17"/>
      <c r="DW97" s="17"/>
      <c r="DX97" s="17"/>
      <c r="DY97" s="17"/>
      <c r="DZ97" s="17"/>
      <c r="EA97" s="22"/>
      <c r="EB97" s="17"/>
      <c r="EC97" s="16"/>
      <c r="ED97" s="18"/>
      <c r="EE97" s="19"/>
      <c r="EF97" s="20"/>
      <c r="EG97" s="21"/>
      <c r="EH97" s="18"/>
      <c r="EI97" s="17"/>
      <c r="EJ97" s="18"/>
      <c r="EK97" s="18"/>
      <c r="EL97" s="18"/>
      <c r="EM97" s="17"/>
      <c r="EN97" s="17"/>
      <c r="EO97" s="17"/>
      <c r="EP97" s="17"/>
      <c r="EQ97" s="17"/>
      <c r="ER97" s="17"/>
      <c r="ES97" s="17"/>
      <c r="ET97" s="17"/>
      <c r="EU97" s="22"/>
      <c r="EV97" s="17"/>
      <c r="EW97" s="16"/>
      <c r="EX97" s="18"/>
      <c r="EY97" s="19"/>
      <c r="EZ97" s="20"/>
      <c r="FA97" s="21"/>
      <c r="FB97" s="18"/>
      <c r="FC97" s="17"/>
      <c r="FD97" s="18"/>
      <c r="FE97" s="18"/>
      <c r="FF97" s="18"/>
      <c r="FG97" s="17"/>
      <c r="FH97" s="17"/>
      <c r="FI97" s="17"/>
      <c r="FJ97" s="17"/>
      <c r="FK97" s="17"/>
      <c r="FL97" s="17"/>
      <c r="FM97" s="17"/>
      <c r="FN97" s="17"/>
      <c r="FO97" s="22"/>
      <c r="FP97" s="17"/>
      <c r="FQ97" s="16"/>
      <c r="FR97" s="18"/>
      <c r="FS97" s="19"/>
      <c r="FT97" s="20"/>
      <c r="FU97" s="21"/>
      <c r="FV97" s="18"/>
      <c r="FW97" s="17"/>
      <c r="FX97" s="18"/>
      <c r="FY97" s="18"/>
      <c r="FZ97" s="18"/>
      <c r="GA97" s="17"/>
      <c r="GB97" s="17"/>
      <c r="GC97" s="17"/>
      <c r="GD97" s="17"/>
      <c r="GE97" s="17"/>
      <c r="GF97" s="17"/>
      <c r="GG97" s="17"/>
      <c r="GH97" s="17"/>
      <c r="GI97" s="22"/>
      <c r="GJ97" s="17"/>
      <c r="GK97" s="16"/>
      <c r="GL97" s="18"/>
      <c r="GM97" s="19"/>
      <c r="GN97" s="20"/>
      <c r="GO97" s="21"/>
      <c r="GP97" s="18"/>
      <c r="GQ97" s="17"/>
      <c r="GR97" s="18"/>
      <c r="GS97" s="18"/>
      <c r="GT97" s="18"/>
      <c r="GU97" s="17"/>
      <c r="GV97" s="17"/>
      <c r="GW97" s="17"/>
      <c r="GX97" s="17"/>
      <c r="GY97" s="17"/>
      <c r="GZ97" s="17"/>
      <c r="HA97" s="17"/>
      <c r="HB97" s="17"/>
      <c r="HC97" s="22"/>
      <c r="HD97" s="17"/>
      <c r="HE97" s="16"/>
      <c r="HF97" s="18"/>
      <c r="HG97" s="19"/>
      <c r="HH97" s="20"/>
      <c r="HI97" s="21"/>
      <c r="HJ97" s="18"/>
      <c r="HK97" s="17"/>
      <c r="HL97" s="18"/>
      <c r="HM97" s="18"/>
      <c r="HN97" s="18"/>
      <c r="HO97" s="17"/>
      <c r="HP97" s="17"/>
      <c r="HQ97" s="17"/>
      <c r="HR97" s="17"/>
      <c r="HS97" s="17"/>
      <c r="HT97" s="17"/>
      <c r="HU97" s="17"/>
      <c r="HV97" s="17"/>
      <c r="HW97" s="22"/>
      <c r="HX97" s="17"/>
      <c r="HY97" s="16"/>
      <c r="HZ97" s="18"/>
      <c r="IA97" s="19"/>
      <c r="IB97" s="20"/>
      <c r="IC97" s="21"/>
      <c r="ID97" s="18"/>
      <c r="IE97" s="17"/>
      <c r="IF97" s="18"/>
      <c r="IG97" s="18"/>
      <c r="IH97" s="18"/>
      <c r="II97" s="17"/>
      <c r="IJ97" s="17"/>
      <c r="IK97" s="17"/>
      <c r="IL97" s="17"/>
      <c r="IM97" s="17"/>
    </row>
    <row r="98" spans="1:247" s="26" customFormat="1" ht="45" customHeight="1">
      <c r="A98" s="30">
        <v>105</v>
      </c>
      <c r="B98" s="49" t="s">
        <v>248</v>
      </c>
      <c r="C98" s="45" t="s">
        <v>38</v>
      </c>
      <c r="D98" s="46"/>
      <c r="E98" s="47">
        <v>292567</v>
      </c>
      <c r="F98" s="48">
        <v>4</v>
      </c>
      <c r="G98" s="45" t="s">
        <v>5563</v>
      </c>
      <c r="H98" s="30" t="s">
        <v>912</v>
      </c>
      <c r="I98" s="45" t="s">
        <v>222</v>
      </c>
      <c r="J98" s="45" t="s">
        <v>223</v>
      </c>
      <c r="K98" s="61" t="s">
        <v>5972</v>
      </c>
      <c r="L98" s="28"/>
      <c r="M98" s="16"/>
      <c r="N98" s="18"/>
      <c r="O98" s="19"/>
      <c r="P98" s="20"/>
      <c r="Q98" s="21"/>
      <c r="R98" s="18"/>
      <c r="S98" s="17"/>
      <c r="T98" s="18"/>
      <c r="U98" s="18"/>
      <c r="V98" s="18"/>
      <c r="W98" s="17"/>
      <c r="X98" s="17"/>
      <c r="Y98" s="17"/>
      <c r="Z98" s="17"/>
      <c r="AA98" s="17"/>
      <c r="AB98" s="17"/>
      <c r="AC98" s="17"/>
      <c r="AD98" s="17"/>
      <c r="AE98" s="22"/>
      <c r="AF98" s="17"/>
      <c r="AG98" s="16"/>
      <c r="AH98" s="18"/>
      <c r="AI98" s="19"/>
      <c r="AJ98" s="20"/>
      <c r="AK98" s="21"/>
      <c r="AL98" s="18"/>
      <c r="AM98" s="17"/>
      <c r="AN98" s="18"/>
      <c r="AO98" s="18"/>
      <c r="AP98" s="18"/>
      <c r="AQ98" s="17"/>
      <c r="AR98" s="17"/>
      <c r="AS98" s="17"/>
      <c r="AT98" s="17"/>
      <c r="AU98" s="17"/>
      <c r="AV98" s="17"/>
      <c r="AW98" s="17"/>
      <c r="AX98" s="17"/>
      <c r="AY98" s="22"/>
      <c r="AZ98" s="17"/>
      <c r="BA98" s="16"/>
      <c r="BB98" s="18"/>
      <c r="BC98" s="19"/>
      <c r="BD98" s="20"/>
      <c r="BE98" s="21"/>
      <c r="BF98" s="18"/>
      <c r="BG98" s="17"/>
      <c r="BH98" s="18"/>
      <c r="BI98" s="18"/>
      <c r="BJ98" s="18"/>
      <c r="BK98" s="17"/>
      <c r="BL98" s="17"/>
      <c r="BM98" s="17"/>
      <c r="BN98" s="17"/>
      <c r="BO98" s="17"/>
      <c r="BP98" s="17"/>
      <c r="BQ98" s="17"/>
      <c r="BR98" s="17"/>
      <c r="BS98" s="22"/>
      <c r="BT98" s="17"/>
      <c r="BU98" s="16"/>
      <c r="BV98" s="18"/>
      <c r="BW98" s="19"/>
      <c r="BX98" s="20"/>
      <c r="BY98" s="21"/>
      <c r="BZ98" s="18"/>
      <c r="CA98" s="17"/>
      <c r="CB98" s="18"/>
      <c r="CC98" s="18"/>
      <c r="CD98" s="18"/>
      <c r="CE98" s="17"/>
      <c r="CF98" s="17"/>
      <c r="CG98" s="17"/>
      <c r="CH98" s="17"/>
      <c r="CI98" s="17"/>
      <c r="CJ98" s="17"/>
      <c r="CK98" s="17"/>
      <c r="CL98" s="17"/>
      <c r="CM98" s="22"/>
      <c r="CN98" s="17"/>
      <c r="CO98" s="16"/>
      <c r="CP98" s="18"/>
      <c r="CQ98" s="19"/>
      <c r="CR98" s="20"/>
      <c r="CS98" s="21"/>
      <c r="CT98" s="18"/>
      <c r="CU98" s="17"/>
      <c r="CV98" s="18"/>
      <c r="CW98" s="18"/>
      <c r="CX98" s="18"/>
      <c r="CY98" s="17"/>
      <c r="CZ98" s="17"/>
      <c r="DA98" s="17"/>
      <c r="DB98" s="17"/>
      <c r="DC98" s="17"/>
      <c r="DD98" s="17"/>
      <c r="DE98" s="17"/>
      <c r="DF98" s="17"/>
      <c r="DG98" s="22"/>
      <c r="DH98" s="17"/>
      <c r="DI98" s="16"/>
      <c r="DJ98" s="18"/>
      <c r="DK98" s="19"/>
      <c r="DL98" s="20"/>
      <c r="DM98" s="21"/>
      <c r="DN98" s="18"/>
      <c r="DO98" s="17"/>
      <c r="DP98" s="18"/>
      <c r="DQ98" s="18"/>
      <c r="DR98" s="18"/>
      <c r="DS98" s="17"/>
      <c r="DT98" s="17"/>
      <c r="DU98" s="17"/>
      <c r="DV98" s="17"/>
      <c r="DW98" s="17"/>
      <c r="DX98" s="17"/>
      <c r="DY98" s="17"/>
      <c r="DZ98" s="17"/>
      <c r="EA98" s="22"/>
      <c r="EB98" s="17"/>
      <c r="EC98" s="16"/>
      <c r="ED98" s="18"/>
      <c r="EE98" s="19"/>
      <c r="EF98" s="20"/>
      <c r="EG98" s="21"/>
      <c r="EH98" s="18"/>
      <c r="EI98" s="17"/>
      <c r="EJ98" s="18"/>
      <c r="EK98" s="18"/>
      <c r="EL98" s="18"/>
      <c r="EM98" s="17"/>
      <c r="EN98" s="17"/>
      <c r="EO98" s="17"/>
      <c r="EP98" s="17"/>
      <c r="EQ98" s="17"/>
      <c r="ER98" s="17"/>
      <c r="ES98" s="17"/>
      <c r="ET98" s="17"/>
      <c r="EU98" s="22"/>
      <c r="EV98" s="17"/>
      <c r="EW98" s="16"/>
      <c r="EX98" s="18"/>
      <c r="EY98" s="19"/>
      <c r="EZ98" s="20"/>
      <c r="FA98" s="21"/>
      <c r="FB98" s="18"/>
      <c r="FC98" s="17"/>
      <c r="FD98" s="18"/>
      <c r="FE98" s="18"/>
      <c r="FF98" s="18"/>
      <c r="FG98" s="17"/>
      <c r="FH98" s="17"/>
      <c r="FI98" s="17"/>
      <c r="FJ98" s="17"/>
      <c r="FK98" s="17"/>
      <c r="FL98" s="17"/>
      <c r="FM98" s="17"/>
      <c r="FN98" s="17"/>
      <c r="FO98" s="22"/>
      <c r="FP98" s="17"/>
      <c r="FQ98" s="16"/>
      <c r="FR98" s="18"/>
      <c r="FS98" s="19"/>
      <c r="FT98" s="20"/>
      <c r="FU98" s="21"/>
      <c r="FV98" s="18"/>
      <c r="FW98" s="17"/>
      <c r="FX98" s="18"/>
      <c r="FY98" s="18"/>
      <c r="FZ98" s="18"/>
      <c r="GA98" s="17"/>
      <c r="GB98" s="17"/>
      <c r="GC98" s="17"/>
      <c r="GD98" s="17"/>
      <c r="GE98" s="17"/>
      <c r="GF98" s="17"/>
      <c r="GG98" s="17"/>
      <c r="GH98" s="17"/>
      <c r="GI98" s="22"/>
      <c r="GJ98" s="17"/>
      <c r="GK98" s="16"/>
      <c r="GL98" s="18"/>
      <c r="GM98" s="19"/>
      <c r="GN98" s="20"/>
      <c r="GO98" s="21"/>
      <c r="GP98" s="18"/>
      <c r="GQ98" s="17"/>
      <c r="GR98" s="18"/>
      <c r="GS98" s="18"/>
      <c r="GT98" s="18"/>
      <c r="GU98" s="17"/>
      <c r="GV98" s="17"/>
      <c r="GW98" s="17"/>
      <c r="GX98" s="17"/>
      <c r="GY98" s="17"/>
      <c r="GZ98" s="17"/>
      <c r="HA98" s="17"/>
      <c r="HB98" s="17"/>
      <c r="HC98" s="22"/>
      <c r="HD98" s="17"/>
      <c r="HE98" s="16"/>
      <c r="HF98" s="18"/>
      <c r="HG98" s="19"/>
      <c r="HH98" s="20"/>
      <c r="HI98" s="21"/>
      <c r="HJ98" s="18"/>
      <c r="HK98" s="17"/>
      <c r="HL98" s="18"/>
      <c r="HM98" s="18"/>
      <c r="HN98" s="18"/>
      <c r="HO98" s="17"/>
      <c r="HP98" s="17"/>
      <c r="HQ98" s="17"/>
      <c r="HR98" s="17"/>
      <c r="HS98" s="17"/>
      <c r="HT98" s="17"/>
      <c r="HU98" s="17"/>
      <c r="HV98" s="17"/>
      <c r="HW98" s="22"/>
      <c r="HX98" s="17"/>
      <c r="HY98" s="16"/>
      <c r="HZ98" s="18"/>
      <c r="IA98" s="19"/>
      <c r="IB98" s="20"/>
      <c r="IC98" s="21"/>
      <c r="ID98" s="18"/>
      <c r="IE98" s="17"/>
      <c r="IF98" s="18"/>
      <c r="IG98" s="18"/>
      <c r="IH98" s="18"/>
      <c r="II98" s="17"/>
      <c r="IJ98" s="17"/>
      <c r="IK98" s="17"/>
      <c r="IL98" s="17"/>
      <c r="IM98" s="17"/>
    </row>
    <row r="99" spans="1:247" s="26" customFormat="1" ht="45" customHeight="1">
      <c r="A99" s="30">
        <v>105</v>
      </c>
      <c r="B99" s="49" t="s">
        <v>890</v>
      </c>
      <c r="C99" s="45" t="s">
        <v>38</v>
      </c>
      <c r="D99" s="46"/>
      <c r="E99" s="47">
        <v>93500</v>
      </c>
      <c r="F99" s="48">
        <v>4</v>
      </c>
      <c r="G99" s="49" t="s">
        <v>5564</v>
      </c>
      <c r="H99" s="30" t="s">
        <v>913</v>
      </c>
      <c r="I99" s="45" t="s">
        <v>104</v>
      </c>
      <c r="J99" s="45" t="s">
        <v>914</v>
      </c>
      <c r="K99" s="61" t="s">
        <v>5973</v>
      </c>
      <c r="L99" s="28"/>
      <c r="M99" s="16"/>
      <c r="N99" s="18"/>
      <c r="O99" s="19"/>
      <c r="P99" s="20"/>
      <c r="Q99" s="21"/>
      <c r="R99" s="18"/>
      <c r="S99" s="17"/>
      <c r="T99" s="18"/>
      <c r="U99" s="18"/>
      <c r="V99" s="18"/>
      <c r="W99" s="17"/>
      <c r="X99" s="17"/>
      <c r="Y99" s="17"/>
      <c r="Z99" s="17"/>
      <c r="AA99" s="17"/>
      <c r="AB99" s="17"/>
      <c r="AC99" s="17"/>
      <c r="AD99" s="17"/>
      <c r="AE99" s="22"/>
      <c r="AF99" s="17"/>
      <c r="AG99" s="16"/>
      <c r="AH99" s="18"/>
      <c r="AI99" s="19"/>
      <c r="AJ99" s="20"/>
      <c r="AK99" s="21"/>
      <c r="AL99" s="18"/>
      <c r="AM99" s="17"/>
      <c r="AN99" s="18"/>
      <c r="AO99" s="18"/>
      <c r="AP99" s="18"/>
      <c r="AQ99" s="17"/>
      <c r="AR99" s="17"/>
      <c r="AS99" s="17"/>
      <c r="AT99" s="17"/>
      <c r="AU99" s="17"/>
      <c r="AV99" s="17"/>
      <c r="AW99" s="17"/>
      <c r="AX99" s="17"/>
      <c r="AY99" s="22"/>
      <c r="AZ99" s="17"/>
      <c r="BA99" s="16"/>
      <c r="BB99" s="18"/>
      <c r="BC99" s="19"/>
      <c r="BD99" s="20"/>
      <c r="BE99" s="21"/>
      <c r="BF99" s="18"/>
      <c r="BG99" s="17"/>
      <c r="BH99" s="18"/>
      <c r="BI99" s="18"/>
      <c r="BJ99" s="18"/>
      <c r="BK99" s="17"/>
      <c r="BL99" s="17"/>
      <c r="BM99" s="17"/>
      <c r="BN99" s="17"/>
      <c r="BO99" s="17"/>
      <c r="BP99" s="17"/>
      <c r="BQ99" s="17"/>
      <c r="BR99" s="17"/>
      <c r="BS99" s="22"/>
      <c r="BT99" s="17"/>
      <c r="BU99" s="16"/>
      <c r="BV99" s="18"/>
      <c r="BW99" s="19"/>
      <c r="BX99" s="20"/>
      <c r="BY99" s="21"/>
      <c r="BZ99" s="18"/>
      <c r="CA99" s="17"/>
      <c r="CB99" s="18"/>
      <c r="CC99" s="18"/>
      <c r="CD99" s="18"/>
      <c r="CE99" s="17"/>
      <c r="CF99" s="17"/>
      <c r="CG99" s="17"/>
      <c r="CH99" s="17"/>
      <c r="CI99" s="17"/>
      <c r="CJ99" s="17"/>
      <c r="CK99" s="17"/>
      <c r="CL99" s="17"/>
      <c r="CM99" s="22"/>
      <c r="CN99" s="17"/>
      <c r="CO99" s="16"/>
      <c r="CP99" s="18"/>
      <c r="CQ99" s="19"/>
      <c r="CR99" s="20"/>
      <c r="CS99" s="21"/>
      <c r="CT99" s="18"/>
      <c r="CU99" s="17"/>
      <c r="CV99" s="18"/>
      <c r="CW99" s="18"/>
      <c r="CX99" s="18"/>
      <c r="CY99" s="17"/>
      <c r="CZ99" s="17"/>
      <c r="DA99" s="17"/>
      <c r="DB99" s="17"/>
      <c r="DC99" s="17"/>
      <c r="DD99" s="17"/>
      <c r="DE99" s="17"/>
      <c r="DF99" s="17"/>
      <c r="DG99" s="22"/>
      <c r="DH99" s="17"/>
      <c r="DI99" s="16"/>
      <c r="DJ99" s="18"/>
      <c r="DK99" s="19"/>
      <c r="DL99" s="20"/>
      <c r="DM99" s="21"/>
      <c r="DN99" s="18"/>
      <c r="DO99" s="17"/>
      <c r="DP99" s="18"/>
      <c r="DQ99" s="18"/>
      <c r="DR99" s="18"/>
      <c r="DS99" s="17"/>
      <c r="DT99" s="17"/>
      <c r="DU99" s="17"/>
      <c r="DV99" s="17"/>
      <c r="DW99" s="17"/>
      <c r="DX99" s="17"/>
      <c r="DY99" s="17"/>
      <c r="DZ99" s="17"/>
      <c r="EA99" s="22"/>
      <c r="EB99" s="17"/>
      <c r="EC99" s="16"/>
      <c r="ED99" s="18"/>
      <c r="EE99" s="19"/>
      <c r="EF99" s="20"/>
      <c r="EG99" s="21"/>
      <c r="EH99" s="18"/>
      <c r="EI99" s="17"/>
      <c r="EJ99" s="18"/>
      <c r="EK99" s="18"/>
      <c r="EL99" s="18"/>
      <c r="EM99" s="17"/>
      <c r="EN99" s="17"/>
      <c r="EO99" s="17"/>
      <c r="EP99" s="17"/>
      <c r="EQ99" s="17"/>
      <c r="ER99" s="17"/>
      <c r="ES99" s="17"/>
      <c r="ET99" s="17"/>
      <c r="EU99" s="22"/>
      <c r="EV99" s="17"/>
      <c r="EW99" s="16"/>
      <c r="EX99" s="18"/>
      <c r="EY99" s="19"/>
      <c r="EZ99" s="20"/>
      <c r="FA99" s="21"/>
      <c r="FB99" s="18"/>
      <c r="FC99" s="17"/>
      <c r="FD99" s="18"/>
      <c r="FE99" s="18"/>
      <c r="FF99" s="18"/>
      <c r="FG99" s="17"/>
      <c r="FH99" s="17"/>
      <c r="FI99" s="17"/>
      <c r="FJ99" s="17"/>
      <c r="FK99" s="17"/>
      <c r="FL99" s="17"/>
      <c r="FM99" s="17"/>
      <c r="FN99" s="17"/>
      <c r="FO99" s="22"/>
      <c r="FP99" s="17"/>
      <c r="FQ99" s="16"/>
      <c r="FR99" s="18"/>
      <c r="FS99" s="19"/>
      <c r="FT99" s="20"/>
      <c r="FU99" s="21"/>
      <c r="FV99" s="18"/>
      <c r="FW99" s="17"/>
      <c r="FX99" s="18"/>
      <c r="FY99" s="18"/>
      <c r="FZ99" s="18"/>
      <c r="GA99" s="17"/>
      <c r="GB99" s="17"/>
      <c r="GC99" s="17"/>
      <c r="GD99" s="17"/>
      <c r="GE99" s="17"/>
      <c r="GF99" s="17"/>
      <c r="GG99" s="17"/>
      <c r="GH99" s="17"/>
      <c r="GI99" s="22"/>
      <c r="GJ99" s="17"/>
      <c r="GK99" s="16"/>
      <c r="GL99" s="18"/>
      <c r="GM99" s="19"/>
      <c r="GN99" s="20"/>
      <c r="GO99" s="21"/>
      <c r="GP99" s="18"/>
      <c r="GQ99" s="17"/>
      <c r="GR99" s="18"/>
      <c r="GS99" s="18"/>
      <c r="GT99" s="18"/>
      <c r="GU99" s="17"/>
      <c r="GV99" s="17"/>
      <c r="GW99" s="17"/>
      <c r="GX99" s="17"/>
      <c r="GY99" s="17"/>
      <c r="GZ99" s="17"/>
      <c r="HA99" s="17"/>
      <c r="HB99" s="17"/>
      <c r="HC99" s="22"/>
      <c r="HD99" s="17"/>
      <c r="HE99" s="16"/>
      <c r="HF99" s="18"/>
      <c r="HG99" s="19"/>
      <c r="HH99" s="20"/>
      <c r="HI99" s="21"/>
      <c r="HJ99" s="18"/>
      <c r="HK99" s="17"/>
      <c r="HL99" s="18"/>
      <c r="HM99" s="18"/>
      <c r="HN99" s="18"/>
      <c r="HO99" s="17"/>
      <c r="HP99" s="17"/>
      <c r="HQ99" s="17"/>
      <c r="HR99" s="17"/>
      <c r="HS99" s="17"/>
      <c r="HT99" s="17"/>
      <c r="HU99" s="17"/>
      <c r="HV99" s="17"/>
      <c r="HW99" s="22"/>
      <c r="HX99" s="17"/>
      <c r="HY99" s="16"/>
      <c r="HZ99" s="18"/>
      <c r="IA99" s="19"/>
      <c r="IB99" s="20"/>
      <c r="IC99" s="21"/>
      <c r="ID99" s="18"/>
      <c r="IE99" s="17"/>
      <c r="IF99" s="18"/>
      <c r="IG99" s="18"/>
      <c r="IH99" s="18"/>
      <c r="II99" s="17"/>
      <c r="IJ99" s="17"/>
      <c r="IK99" s="17"/>
      <c r="IL99" s="17"/>
      <c r="IM99" s="17"/>
    </row>
    <row r="100" spans="1:247" s="26" customFormat="1" ht="45" customHeight="1">
      <c r="A100" s="30">
        <v>105</v>
      </c>
      <c r="B100" s="49" t="s">
        <v>212</v>
      </c>
      <c r="C100" s="45" t="s">
        <v>38</v>
      </c>
      <c r="D100" s="46"/>
      <c r="E100" s="47">
        <v>81984</v>
      </c>
      <c r="F100" s="48">
        <v>4</v>
      </c>
      <c r="G100" s="51" t="s">
        <v>916</v>
      </c>
      <c r="H100" s="30" t="s">
        <v>917</v>
      </c>
      <c r="I100" s="45" t="s">
        <v>92</v>
      </c>
      <c r="J100" s="45" t="s">
        <v>156</v>
      </c>
      <c r="K100" s="63" t="s">
        <v>5980</v>
      </c>
      <c r="L100" s="28"/>
      <c r="M100" s="16"/>
      <c r="N100" s="18"/>
      <c r="O100" s="19"/>
      <c r="P100" s="20"/>
      <c r="Q100" s="21"/>
      <c r="R100" s="18"/>
      <c r="S100" s="17"/>
      <c r="T100" s="18"/>
      <c r="U100" s="18"/>
      <c r="V100" s="18"/>
      <c r="W100" s="17"/>
      <c r="X100" s="17"/>
      <c r="Y100" s="17"/>
      <c r="Z100" s="17"/>
      <c r="AA100" s="17"/>
      <c r="AB100" s="17"/>
      <c r="AC100" s="17"/>
      <c r="AD100" s="17"/>
      <c r="AE100" s="22"/>
      <c r="AF100" s="17"/>
      <c r="AG100" s="16"/>
      <c r="AH100" s="18"/>
      <c r="AI100" s="19"/>
      <c r="AJ100" s="20"/>
      <c r="AK100" s="21"/>
      <c r="AL100" s="18"/>
      <c r="AM100" s="17"/>
      <c r="AN100" s="18"/>
      <c r="AO100" s="18"/>
      <c r="AP100" s="18"/>
      <c r="AQ100" s="17"/>
      <c r="AR100" s="17"/>
      <c r="AS100" s="17"/>
      <c r="AT100" s="17"/>
      <c r="AU100" s="17"/>
      <c r="AV100" s="17"/>
      <c r="AW100" s="17"/>
      <c r="AX100" s="17"/>
      <c r="AY100" s="22"/>
      <c r="AZ100" s="17"/>
      <c r="BA100" s="16"/>
      <c r="BB100" s="18"/>
      <c r="BC100" s="19"/>
      <c r="BD100" s="20"/>
      <c r="BE100" s="21"/>
      <c r="BF100" s="18"/>
      <c r="BG100" s="17"/>
      <c r="BH100" s="18"/>
      <c r="BI100" s="18"/>
      <c r="BJ100" s="18"/>
      <c r="BK100" s="17"/>
      <c r="BL100" s="17"/>
      <c r="BM100" s="17"/>
      <c r="BN100" s="17"/>
      <c r="BO100" s="17"/>
      <c r="BP100" s="17"/>
      <c r="BQ100" s="17"/>
      <c r="BR100" s="17"/>
      <c r="BS100" s="22"/>
      <c r="BT100" s="17"/>
      <c r="BU100" s="16"/>
      <c r="BV100" s="18"/>
      <c r="BW100" s="19"/>
      <c r="BX100" s="20"/>
      <c r="BY100" s="21"/>
      <c r="BZ100" s="18"/>
      <c r="CA100" s="17"/>
      <c r="CB100" s="18"/>
      <c r="CC100" s="18"/>
      <c r="CD100" s="18"/>
      <c r="CE100" s="17"/>
      <c r="CF100" s="17"/>
      <c r="CG100" s="17"/>
      <c r="CH100" s="17"/>
      <c r="CI100" s="17"/>
      <c r="CJ100" s="17"/>
      <c r="CK100" s="17"/>
      <c r="CL100" s="17"/>
      <c r="CM100" s="22"/>
      <c r="CN100" s="17"/>
      <c r="CO100" s="16"/>
      <c r="CP100" s="18"/>
      <c r="CQ100" s="19"/>
      <c r="CR100" s="20"/>
      <c r="CS100" s="21"/>
      <c r="CT100" s="18"/>
      <c r="CU100" s="17"/>
      <c r="CV100" s="18"/>
      <c r="CW100" s="18"/>
      <c r="CX100" s="18"/>
      <c r="CY100" s="17"/>
      <c r="CZ100" s="17"/>
      <c r="DA100" s="17"/>
      <c r="DB100" s="17"/>
      <c r="DC100" s="17"/>
      <c r="DD100" s="17"/>
      <c r="DE100" s="17"/>
      <c r="DF100" s="17"/>
      <c r="DG100" s="22"/>
      <c r="DH100" s="17"/>
      <c r="DI100" s="16"/>
      <c r="DJ100" s="18"/>
      <c r="DK100" s="19"/>
      <c r="DL100" s="20"/>
      <c r="DM100" s="21"/>
      <c r="DN100" s="18"/>
      <c r="DO100" s="17"/>
      <c r="DP100" s="18"/>
      <c r="DQ100" s="18"/>
      <c r="DR100" s="18"/>
      <c r="DS100" s="17"/>
      <c r="DT100" s="17"/>
      <c r="DU100" s="17"/>
      <c r="DV100" s="17"/>
      <c r="DW100" s="17"/>
      <c r="DX100" s="17"/>
      <c r="DY100" s="17"/>
      <c r="DZ100" s="17"/>
      <c r="EA100" s="22"/>
      <c r="EB100" s="17"/>
      <c r="EC100" s="16"/>
      <c r="ED100" s="18"/>
      <c r="EE100" s="19"/>
      <c r="EF100" s="20"/>
      <c r="EG100" s="21"/>
      <c r="EH100" s="18"/>
      <c r="EI100" s="17"/>
      <c r="EJ100" s="18"/>
      <c r="EK100" s="18"/>
      <c r="EL100" s="18"/>
      <c r="EM100" s="17"/>
      <c r="EN100" s="17"/>
      <c r="EO100" s="17"/>
      <c r="EP100" s="17"/>
      <c r="EQ100" s="17"/>
      <c r="ER100" s="17"/>
      <c r="ES100" s="17"/>
      <c r="ET100" s="17"/>
      <c r="EU100" s="22"/>
      <c r="EV100" s="17"/>
      <c r="EW100" s="16"/>
      <c r="EX100" s="18"/>
      <c r="EY100" s="19"/>
      <c r="EZ100" s="20"/>
      <c r="FA100" s="21"/>
      <c r="FB100" s="18"/>
      <c r="FC100" s="17"/>
      <c r="FD100" s="18"/>
      <c r="FE100" s="18"/>
      <c r="FF100" s="18"/>
      <c r="FG100" s="17"/>
      <c r="FH100" s="17"/>
      <c r="FI100" s="17"/>
      <c r="FJ100" s="17"/>
      <c r="FK100" s="17"/>
      <c r="FL100" s="17"/>
      <c r="FM100" s="17"/>
      <c r="FN100" s="17"/>
      <c r="FO100" s="22"/>
      <c r="FP100" s="17"/>
      <c r="FQ100" s="16"/>
      <c r="FR100" s="18"/>
      <c r="FS100" s="19"/>
      <c r="FT100" s="20"/>
      <c r="FU100" s="21"/>
      <c r="FV100" s="18"/>
      <c r="FW100" s="17"/>
      <c r="FX100" s="18"/>
      <c r="FY100" s="18"/>
      <c r="FZ100" s="18"/>
      <c r="GA100" s="17"/>
      <c r="GB100" s="17"/>
      <c r="GC100" s="17"/>
      <c r="GD100" s="17"/>
      <c r="GE100" s="17"/>
      <c r="GF100" s="17"/>
      <c r="GG100" s="17"/>
      <c r="GH100" s="17"/>
      <c r="GI100" s="22"/>
      <c r="GJ100" s="17"/>
      <c r="GK100" s="16"/>
      <c r="GL100" s="18"/>
      <c r="GM100" s="19"/>
      <c r="GN100" s="20"/>
      <c r="GO100" s="21"/>
      <c r="GP100" s="18"/>
      <c r="GQ100" s="17"/>
      <c r="GR100" s="18"/>
      <c r="GS100" s="18"/>
      <c r="GT100" s="18"/>
      <c r="GU100" s="17"/>
      <c r="GV100" s="17"/>
      <c r="GW100" s="17"/>
      <c r="GX100" s="17"/>
      <c r="GY100" s="17"/>
      <c r="GZ100" s="17"/>
      <c r="HA100" s="17"/>
      <c r="HB100" s="17"/>
      <c r="HC100" s="22"/>
      <c r="HD100" s="17"/>
      <c r="HE100" s="16"/>
      <c r="HF100" s="18"/>
      <c r="HG100" s="19"/>
      <c r="HH100" s="20"/>
      <c r="HI100" s="21"/>
      <c r="HJ100" s="18"/>
      <c r="HK100" s="17"/>
      <c r="HL100" s="18"/>
      <c r="HM100" s="18"/>
      <c r="HN100" s="18"/>
      <c r="HO100" s="17"/>
      <c r="HP100" s="17"/>
      <c r="HQ100" s="17"/>
      <c r="HR100" s="17"/>
      <c r="HS100" s="17"/>
      <c r="HT100" s="17"/>
      <c r="HU100" s="17"/>
      <c r="HV100" s="17"/>
      <c r="HW100" s="22"/>
      <c r="HX100" s="17"/>
      <c r="HY100" s="16"/>
      <c r="HZ100" s="18"/>
      <c r="IA100" s="19"/>
      <c r="IB100" s="20"/>
      <c r="IC100" s="21"/>
      <c r="ID100" s="18"/>
      <c r="IE100" s="17"/>
      <c r="IF100" s="18"/>
      <c r="IG100" s="18"/>
      <c r="IH100" s="18"/>
      <c r="II100" s="17"/>
      <c r="IJ100" s="17"/>
      <c r="IK100" s="17"/>
      <c r="IL100" s="17"/>
      <c r="IM100" s="17"/>
    </row>
    <row r="101" spans="1:247" s="26" customFormat="1" ht="45" customHeight="1">
      <c r="A101" s="30">
        <v>105</v>
      </c>
      <c r="B101" s="49" t="s">
        <v>906</v>
      </c>
      <c r="C101" s="45" t="s">
        <v>38</v>
      </c>
      <c r="D101" s="46"/>
      <c r="E101" s="47">
        <v>69650</v>
      </c>
      <c r="F101" s="48">
        <v>4</v>
      </c>
      <c r="G101" s="45" t="s">
        <v>907</v>
      </c>
      <c r="H101" s="30" t="s">
        <v>908</v>
      </c>
      <c r="I101" s="45" t="s">
        <v>98</v>
      </c>
      <c r="J101" s="45" t="s">
        <v>909</v>
      </c>
      <c r="K101" s="61" t="s">
        <v>5974</v>
      </c>
      <c r="L101" s="28"/>
      <c r="M101" s="16"/>
      <c r="N101" s="18"/>
      <c r="O101" s="19"/>
      <c r="P101" s="20"/>
      <c r="Q101" s="21"/>
      <c r="R101" s="18"/>
      <c r="S101" s="17"/>
      <c r="T101" s="18"/>
      <c r="U101" s="18"/>
      <c r="V101" s="18"/>
      <c r="W101" s="17"/>
      <c r="X101" s="17"/>
      <c r="Y101" s="17"/>
      <c r="Z101" s="17"/>
      <c r="AA101" s="17"/>
      <c r="AB101" s="17"/>
      <c r="AC101" s="17"/>
      <c r="AD101" s="17"/>
      <c r="AE101" s="22"/>
      <c r="AF101" s="17"/>
      <c r="AG101" s="16"/>
      <c r="AH101" s="18"/>
      <c r="AI101" s="19"/>
      <c r="AJ101" s="20"/>
      <c r="AK101" s="21"/>
      <c r="AL101" s="18"/>
      <c r="AM101" s="17"/>
      <c r="AN101" s="18"/>
      <c r="AO101" s="18"/>
      <c r="AP101" s="18"/>
      <c r="AQ101" s="17"/>
      <c r="AR101" s="17"/>
      <c r="AS101" s="17"/>
      <c r="AT101" s="17"/>
      <c r="AU101" s="17"/>
      <c r="AV101" s="17"/>
      <c r="AW101" s="17"/>
      <c r="AX101" s="17"/>
      <c r="AY101" s="22"/>
      <c r="AZ101" s="17"/>
      <c r="BA101" s="16"/>
      <c r="BB101" s="18"/>
      <c r="BC101" s="19"/>
      <c r="BD101" s="20"/>
      <c r="BE101" s="21"/>
      <c r="BF101" s="18"/>
      <c r="BG101" s="17"/>
      <c r="BH101" s="18"/>
      <c r="BI101" s="18"/>
      <c r="BJ101" s="18"/>
      <c r="BK101" s="17"/>
      <c r="BL101" s="17"/>
      <c r="BM101" s="17"/>
      <c r="BN101" s="17"/>
      <c r="BO101" s="17"/>
      <c r="BP101" s="17"/>
      <c r="BQ101" s="17"/>
      <c r="BR101" s="17"/>
      <c r="BS101" s="22"/>
      <c r="BT101" s="17"/>
      <c r="BU101" s="16"/>
      <c r="BV101" s="18"/>
      <c r="BW101" s="19"/>
      <c r="BX101" s="20"/>
      <c r="BY101" s="21"/>
      <c r="BZ101" s="18"/>
      <c r="CA101" s="17"/>
      <c r="CB101" s="18"/>
      <c r="CC101" s="18"/>
      <c r="CD101" s="18"/>
      <c r="CE101" s="17"/>
      <c r="CF101" s="17"/>
      <c r="CG101" s="17"/>
      <c r="CH101" s="17"/>
      <c r="CI101" s="17"/>
      <c r="CJ101" s="17"/>
      <c r="CK101" s="17"/>
      <c r="CL101" s="17"/>
      <c r="CM101" s="22"/>
      <c r="CN101" s="17"/>
      <c r="CO101" s="16"/>
      <c r="CP101" s="18"/>
      <c r="CQ101" s="19"/>
      <c r="CR101" s="20"/>
      <c r="CS101" s="21"/>
      <c r="CT101" s="18"/>
      <c r="CU101" s="17"/>
      <c r="CV101" s="18"/>
      <c r="CW101" s="18"/>
      <c r="CX101" s="18"/>
      <c r="CY101" s="17"/>
      <c r="CZ101" s="17"/>
      <c r="DA101" s="17"/>
      <c r="DB101" s="17"/>
      <c r="DC101" s="17"/>
      <c r="DD101" s="17"/>
      <c r="DE101" s="17"/>
      <c r="DF101" s="17"/>
      <c r="DG101" s="22"/>
      <c r="DH101" s="17"/>
      <c r="DI101" s="16"/>
      <c r="DJ101" s="18"/>
      <c r="DK101" s="19"/>
      <c r="DL101" s="20"/>
      <c r="DM101" s="21"/>
      <c r="DN101" s="18"/>
      <c r="DO101" s="17"/>
      <c r="DP101" s="18"/>
      <c r="DQ101" s="18"/>
      <c r="DR101" s="18"/>
      <c r="DS101" s="17"/>
      <c r="DT101" s="17"/>
      <c r="DU101" s="17"/>
      <c r="DV101" s="17"/>
      <c r="DW101" s="17"/>
      <c r="DX101" s="17"/>
      <c r="DY101" s="17"/>
      <c r="DZ101" s="17"/>
      <c r="EA101" s="22"/>
      <c r="EB101" s="17"/>
      <c r="EC101" s="16"/>
      <c r="ED101" s="18"/>
      <c r="EE101" s="19"/>
      <c r="EF101" s="20"/>
      <c r="EG101" s="21"/>
      <c r="EH101" s="18"/>
      <c r="EI101" s="17"/>
      <c r="EJ101" s="18"/>
      <c r="EK101" s="18"/>
      <c r="EL101" s="18"/>
      <c r="EM101" s="17"/>
      <c r="EN101" s="17"/>
      <c r="EO101" s="17"/>
      <c r="EP101" s="17"/>
      <c r="EQ101" s="17"/>
      <c r="ER101" s="17"/>
      <c r="ES101" s="17"/>
      <c r="ET101" s="17"/>
      <c r="EU101" s="22"/>
      <c r="EV101" s="17"/>
      <c r="EW101" s="16"/>
      <c r="EX101" s="18"/>
      <c r="EY101" s="19"/>
      <c r="EZ101" s="20"/>
      <c r="FA101" s="21"/>
      <c r="FB101" s="18"/>
      <c r="FC101" s="17"/>
      <c r="FD101" s="18"/>
      <c r="FE101" s="18"/>
      <c r="FF101" s="18"/>
      <c r="FG101" s="17"/>
      <c r="FH101" s="17"/>
      <c r="FI101" s="17"/>
      <c r="FJ101" s="17"/>
      <c r="FK101" s="17"/>
      <c r="FL101" s="17"/>
      <c r="FM101" s="17"/>
      <c r="FN101" s="17"/>
      <c r="FO101" s="22"/>
      <c r="FP101" s="17"/>
      <c r="FQ101" s="16"/>
      <c r="FR101" s="18"/>
      <c r="FS101" s="19"/>
      <c r="FT101" s="20"/>
      <c r="FU101" s="21"/>
      <c r="FV101" s="18"/>
      <c r="FW101" s="17"/>
      <c r="FX101" s="18"/>
      <c r="FY101" s="18"/>
      <c r="FZ101" s="18"/>
      <c r="GA101" s="17"/>
      <c r="GB101" s="17"/>
      <c r="GC101" s="17"/>
      <c r="GD101" s="17"/>
      <c r="GE101" s="17"/>
      <c r="GF101" s="17"/>
      <c r="GG101" s="17"/>
      <c r="GH101" s="17"/>
      <c r="GI101" s="22"/>
      <c r="GJ101" s="17"/>
      <c r="GK101" s="16"/>
      <c r="GL101" s="18"/>
      <c r="GM101" s="19"/>
      <c r="GN101" s="20"/>
      <c r="GO101" s="21"/>
      <c r="GP101" s="18"/>
      <c r="GQ101" s="17"/>
      <c r="GR101" s="18"/>
      <c r="GS101" s="18"/>
      <c r="GT101" s="18"/>
      <c r="GU101" s="17"/>
      <c r="GV101" s="17"/>
      <c r="GW101" s="17"/>
      <c r="GX101" s="17"/>
      <c r="GY101" s="17"/>
      <c r="GZ101" s="17"/>
      <c r="HA101" s="17"/>
      <c r="HB101" s="17"/>
      <c r="HC101" s="22"/>
      <c r="HD101" s="17"/>
      <c r="HE101" s="16"/>
      <c r="HF101" s="18"/>
      <c r="HG101" s="19"/>
      <c r="HH101" s="20"/>
      <c r="HI101" s="21"/>
      <c r="HJ101" s="18"/>
      <c r="HK101" s="17"/>
      <c r="HL101" s="18"/>
      <c r="HM101" s="18"/>
      <c r="HN101" s="18"/>
      <c r="HO101" s="17"/>
      <c r="HP101" s="17"/>
      <c r="HQ101" s="17"/>
      <c r="HR101" s="17"/>
      <c r="HS101" s="17"/>
      <c r="HT101" s="17"/>
      <c r="HU101" s="17"/>
      <c r="HV101" s="17"/>
      <c r="HW101" s="22"/>
      <c r="HX101" s="17"/>
      <c r="HY101" s="16"/>
      <c r="HZ101" s="18"/>
      <c r="IA101" s="19"/>
      <c r="IB101" s="20"/>
      <c r="IC101" s="21"/>
      <c r="ID101" s="18"/>
      <c r="IE101" s="17"/>
      <c r="IF101" s="18"/>
      <c r="IG101" s="18"/>
      <c r="IH101" s="18"/>
      <c r="II101" s="17"/>
      <c r="IJ101" s="17"/>
      <c r="IK101" s="17"/>
      <c r="IL101" s="17"/>
      <c r="IM101" s="17"/>
    </row>
    <row r="102" spans="1:247" s="26" customFormat="1" ht="45" customHeight="1">
      <c r="A102" s="30">
        <v>105</v>
      </c>
      <c r="B102" s="45" t="s">
        <v>865</v>
      </c>
      <c r="C102" s="45" t="s">
        <v>38</v>
      </c>
      <c r="D102" s="46"/>
      <c r="E102" s="47">
        <v>12900</v>
      </c>
      <c r="F102" s="48">
        <v>4</v>
      </c>
      <c r="G102" s="45" t="s">
        <v>910</v>
      </c>
      <c r="H102" s="30" t="s">
        <v>903</v>
      </c>
      <c r="I102" s="45" t="s">
        <v>100</v>
      </c>
      <c r="J102" s="45" t="s">
        <v>101</v>
      </c>
      <c r="K102" s="61" t="s">
        <v>5975</v>
      </c>
      <c r="L102" s="28"/>
      <c r="M102" s="16"/>
      <c r="N102" s="18"/>
      <c r="O102" s="19"/>
      <c r="P102" s="20"/>
      <c r="Q102" s="21"/>
      <c r="R102" s="18"/>
      <c r="S102" s="17"/>
      <c r="T102" s="18"/>
      <c r="U102" s="18"/>
      <c r="V102" s="18"/>
      <c r="W102" s="17"/>
      <c r="X102" s="17"/>
      <c r="Y102" s="17"/>
      <c r="Z102" s="17"/>
      <c r="AA102" s="17"/>
      <c r="AB102" s="17"/>
      <c r="AC102" s="17"/>
      <c r="AD102" s="17"/>
      <c r="AE102" s="22"/>
      <c r="AF102" s="17"/>
      <c r="AG102" s="16"/>
      <c r="AH102" s="18"/>
      <c r="AI102" s="19"/>
      <c r="AJ102" s="20"/>
      <c r="AK102" s="21"/>
      <c r="AL102" s="18"/>
      <c r="AM102" s="17"/>
      <c r="AN102" s="18"/>
      <c r="AO102" s="18"/>
      <c r="AP102" s="18"/>
      <c r="AQ102" s="17"/>
      <c r="AR102" s="17"/>
      <c r="AS102" s="17"/>
      <c r="AT102" s="17"/>
      <c r="AU102" s="17"/>
      <c r="AV102" s="17"/>
      <c r="AW102" s="17"/>
      <c r="AX102" s="17"/>
      <c r="AY102" s="22"/>
      <c r="AZ102" s="17"/>
      <c r="BA102" s="16"/>
      <c r="BB102" s="18"/>
      <c r="BC102" s="19"/>
      <c r="BD102" s="20"/>
      <c r="BE102" s="21"/>
      <c r="BF102" s="18"/>
      <c r="BG102" s="17"/>
      <c r="BH102" s="18"/>
      <c r="BI102" s="18"/>
      <c r="BJ102" s="18"/>
      <c r="BK102" s="17"/>
      <c r="BL102" s="17"/>
      <c r="BM102" s="17"/>
      <c r="BN102" s="17"/>
      <c r="BO102" s="17"/>
      <c r="BP102" s="17"/>
      <c r="BQ102" s="17"/>
      <c r="BR102" s="17"/>
      <c r="BS102" s="22"/>
      <c r="BT102" s="17"/>
      <c r="BU102" s="16"/>
      <c r="BV102" s="18"/>
      <c r="BW102" s="19"/>
      <c r="BX102" s="20"/>
      <c r="BY102" s="21"/>
      <c r="BZ102" s="18"/>
      <c r="CA102" s="17"/>
      <c r="CB102" s="18"/>
      <c r="CC102" s="18"/>
      <c r="CD102" s="18"/>
      <c r="CE102" s="17"/>
      <c r="CF102" s="17"/>
      <c r="CG102" s="17"/>
      <c r="CH102" s="17"/>
      <c r="CI102" s="17"/>
      <c r="CJ102" s="17"/>
      <c r="CK102" s="17"/>
      <c r="CL102" s="17"/>
      <c r="CM102" s="22"/>
      <c r="CN102" s="17"/>
      <c r="CO102" s="16"/>
      <c r="CP102" s="18"/>
      <c r="CQ102" s="19"/>
      <c r="CR102" s="20"/>
      <c r="CS102" s="21"/>
      <c r="CT102" s="18"/>
      <c r="CU102" s="17"/>
      <c r="CV102" s="18"/>
      <c r="CW102" s="18"/>
      <c r="CX102" s="18"/>
      <c r="CY102" s="17"/>
      <c r="CZ102" s="17"/>
      <c r="DA102" s="17"/>
      <c r="DB102" s="17"/>
      <c r="DC102" s="17"/>
      <c r="DD102" s="17"/>
      <c r="DE102" s="17"/>
      <c r="DF102" s="17"/>
      <c r="DG102" s="22"/>
      <c r="DH102" s="17"/>
      <c r="DI102" s="16"/>
      <c r="DJ102" s="18"/>
      <c r="DK102" s="19"/>
      <c r="DL102" s="20"/>
      <c r="DM102" s="21"/>
      <c r="DN102" s="18"/>
      <c r="DO102" s="17"/>
      <c r="DP102" s="18"/>
      <c r="DQ102" s="18"/>
      <c r="DR102" s="18"/>
      <c r="DS102" s="17"/>
      <c r="DT102" s="17"/>
      <c r="DU102" s="17"/>
      <c r="DV102" s="17"/>
      <c r="DW102" s="17"/>
      <c r="DX102" s="17"/>
      <c r="DY102" s="17"/>
      <c r="DZ102" s="17"/>
      <c r="EA102" s="22"/>
      <c r="EB102" s="17"/>
      <c r="EC102" s="16"/>
      <c r="ED102" s="18"/>
      <c r="EE102" s="19"/>
      <c r="EF102" s="20"/>
      <c r="EG102" s="21"/>
      <c r="EH102" s="18"/>
      <c r="EI102" s="17"/>
      <c r="EJ102" s="18"/>
      <c r="EK102" s="18"/>
      <c r="EL102" s="18"/>
      <c r="EM102" s="17"/>
      <c r="EN102" s="17"/>
      <c r="EO102" s="17"/>
      <c r="EP102" s="17"/>
      <c r="EQ102" s="17"/>
      <c r="ER102" s="17"/>
      <c r="ES102" s="17"/>
      <c r="ET102" s="17"/>
      <c r="EU102" s="22"/>
      <c r="EV102" s="17"/>
      <c r="EW102" s="16"/>
      <c r="EX102" s="18"/>
      <c r="EY102" s="19"/>
      <c r="EZ102" s="20"/>
      <c r="FA102" s="21"/>
      <c r="FB102" s="18"/>
      <c r="FC102" s="17"/>
      <c r="FD102" s="18"/>
      <c r="FE102" s="18"/>
      <c r="FF102" s="18"/>
      <c r="FG102" s="17"/>
      <c r="FH102" s="17"/>
      <c r="FI102" s="17"/>
      <c r="FJ102" s="17"/>
      <c r="FK102" s="17"/>
      <c r="FL102" s="17"/>
      <c r="FM102" s="17"/>
      <c r="FN102" s="17"/>
      <c r="FO102" s="22"/>
      <c r="FP102" s="17"/>
      <c r="FQ102" s="16"/>
      <c r="FR102" s="18"/>
      <c r="FS102" s="19"/>
      <c r="FT102" s="20"/>
      <c r="FU102" s="21"/>
      <c r="FV102" s="18"/>
      <c r="FW102" s="17"/>
      <c r="FX102" s="18"/>
      <c r="FY102" s="18"/>
      <c r="FZ102" s="18"/>
      <c r="GA102" s="17"/>
      <c r="GB102" s="17"/>
      <c r="GC102" s="17"/>
      <c r="GD102" s="17"/>
      <c r="GE102" s="17"/>
      <c r="GF102" s="17"/>
      <c r="GG102" s="17"/>
      <c r="GH102" s="17"/>
      <c r="GI102" s="22"/>
      <c r="GJ102" s="17"/>
      <c r="GK102" s="16"/>
      <c r="GL102" s="18"/>
      <c r="GM102" s="19"/>
      <c r="GN102" s="20"/>
      <c r="GO102" s="21"/>
      <c r="GP102" s="18"/>
      <c r="GQ102" s="17"/>
      <c r="GR102" s="18"/>
      <c r="GS102" s="18"/>
      <c r="GT102" s="18"/>
      <c r="GU102" s="17"/>
      <c r="GV102" s="17"/>
      <c r="GW102" s="17"/>
      <c r="GX102" s="17"/>
      <c r="GY102" s="17"/>
      <c r="GZ102" s="17"/>
      <c r="HA102" s="17"/>
      <c r="HB102" s="17"/>
      <c r="HC102" s="22"/>
      <c r="HD102" s="17"/>
      <c r="HE102" s="16"/>
      <c r="HF102" s="18"/>
      <c r="HG102" s="19"/>
      <c r="HH102" s="20"/>
      <c r="HI102" s="21"/>
      <c r="HJ102" s="18"/>
      <c r="HK102" s="17"/>
      <c r="HL102" s="18"/>
      <c r="HM102" s="18"/>
      <c r="HN102" s="18"/>
      <c r="HO102" s="17"/>
      <c r="HP102" s="17"/>
      <c r="HQ102" s="17"/>
      <c r="HR102" s="17"/>
      <c r="HS102" s="17"/>
      <c r="HT102" s="17"/>
      <c r="HU102" s="17"/>
      <c r="HV102" s="17"/>
      <c r="HW102" s="22"/>
      <c r="HX102" s="17"/>
      <c r="HY102" s="16"/>
      <c r="HZ102" s="18"/>
      <c r="IA102" s="19"/>
      <c r="IB102" s="20"/>
      <c r="IC102" s="21"/>
      <c r="ID102" s="18"/>
      <c r="IE102" s="17"/>
      <c r="IF102" s="18"/>
      <c r="IG102" s="18"/>
      <c r="IH102" s="18"/>
      <c r="II102" s="17"/>
      <c r="IJ102" s="17"/>
      <c r="IK102" s="17"/>
      <c r="IL102" s="17"/>
      <c r="IM102" s="17"/>
    </row>
    <row r="103" spans="1:247" s="26" customFormat="1" ht="45" customHeight="1">
      <c r="A103" s="30">
        <v>105</v>
      </c>
      <c r="B103" s="45" t="s">
        <v>865</v>
      </c>
      <c r="C103" s="45" t="s">
        <v>38</v>
      </c>
      <c r="D103" s="46"/>
      <c r="E103" s="47">
        <v>12300</v>
      </c>
      <c r="F103" s="48">
        <v>4</v>
      </c>
      <c r="G103" s="45" t="s">
        <v>915</v>
      </c>
      <c r="H103" s="30" t="s">
        <v>903</v>
      </c>
      <c r="I103" s="45" t="s">
        <v>100</v>
      </c>
      <c r="J103" s="45" t="s">
        <v>101</v>
      </c>
      <c r="K103" s="61" t="s">
        <v>5976</v>
      </c>
      <c r="L103" s="28"/>
      <c r="M103" s="16"/>
      <c r="N103" s="18"/>
      <c r="O103" s="19"/>
      <c r="P103" s="20"/>
      <c r="Q103" s="21"/>
      <c r="R103" s="18"/>
      <c r="S103" s="17"/>
      <c r="T103" s="18"/>
      <c r="U103" s="18"/>
      <c r="V103" s="18"/>
      <c r="W103" s="17"/>
      <c r="X103" s="17"/>
      <c r="Y103" s="17"/>
      <c r="Z103" s="17"/>
      <c r="AA103" s="17"/>
      <c r="AB103" s="17"/>
      <c r="AC103" s="17"/>
      <c r="AD103" s="17"/>
      <c r="AE103" s="22"/>
      <c r="AF103" s="17"/>
      <c r="AG103" s="16"/>
      <c r="AH103" s="18"/>
      <c r="AI103" s="19"/>
      <c r="AJ103" s="20"/>
      <c r="AK103" s="21"/>
      <c r="AL103" s="18"/>
      <c r="AM103" s="17"/>
      <c r="AN103" s="18"/>
      <c r="AO103" s="18"/>
      <c r="AP103" s="18"/>
      <c r="AQ103" s="17"/>
      <c r="AR103" s="17"/>
      <c r="AS103" s="17"/>
      <c r="AT103" s="17"/>
      <c r="AU103" s="17"/>
      <c r="AV103" s="17"/>
      <c r="AW103" s="17"/>
      <c r="AX103" s="17"/>
      <c r="AY103" s="22"/>
      <c r="AZ103" s="17"/>
      <c r="BA103" s="16"/>
      <c r="BB103" s="18"/>
      <c r="BC103" s="19"/>
      <c r="BD103" s="20"/>
      <c r="BE103" s="21"/>
      <c r="BF103" s="18"/>
      <c r="BG103" s="17"/>
      <c r="BH103" s="18"/>
      <c r="BI103" s="18"/>
      <c r="BJ103" s="18"/>
      <c r="BK103" s="17"/>
      <c r="BL103" s="17"/>
      <c r="BM103" s="17"/>
      <c r="BN103" s="17"/>
      <c r="BO103" s="17"/>
      <c r="BP103" s="17"/>
      <c r="BQ103" s="17"/>
      <c r="BR103" s="17"/>
      <c r="BS103" s="22"/>
      <c r="BT103" s="17"/>
      <c r="BU103" s="16"/>
      <c r="BV103" s="18"/>
      <c r="BW103" s="19"/>
      <c r="BX103" s="20"/>
      <c r="BY103" s="21"/>
      <c r="BZ103" s="18"/>
      <c r="CA103" s="17"/>
      <c r="CB103" s="18"/>
      <c r="CC103" s="18"/>
      <c r="CD103" s="18"/>
      <c r="CE103" s="17"/>
      <c r="CF103" s="17"/>
      <c r="CG103" s="17"/>
      <c r="CH103" s="17"/>
      <c r="CI103" s="17"/>
      <c r="CJ103" s="17"/>
      <c r="CK103" s="17"/>
      <c r="CL103" s="17"/>
      <c r="CM103" s="22"/>
      <c r="CN103" s="17"/>
      <c r="CO103" s="16"/>
      <c r="CP103" s="18"/>
      <c r="CQ103" s="19"/>
      <c r="CR103" s="20"/>
      <c r="CS103" s="21"/>
      <c r="CT103" s="18"/>
      <c r="CU103" s="17"/>
      <c r="CV103" s="18"/>
      <c r="CW103" s="18"/>
      <c r="CX103" s="18"/>
      <c r="CY103" s="17"/>
      <c r="CZ103" s="17"/>
      <c r="DA103" s="17"/>
      <c r="DB103" s="17"/>
      <c r="DC103" s="17"/>
      <c r="DD103" s="17"/>
      <c r="DE103" s="17"/>
      <c r="DF103" s="17"/>
      <c r="DG103" s="22"/>
      <c r="DH103" s="17"/>
      <c r="DI103" s="16"/>
      <c r="DJ103" s="18"/>
      <c r="DK103" s="19"/>
      <c r="DL103" s="20"/>
      <c r="DM103" s="21"/>
      <c r="DN103" s="18"/>
      <c r="DO103" s="17"/>
      <c r="DP103" s="18"/>
      <c r="DQ103" s="18"/>
      <c r="DR103" s="18"/>
      <c r="DS103" s="17"/>
      <c r="DT103" s="17"/>
      <c r="DU103" s="17"/>
      <c r="DV103" s="17"/>
      <c r="DW103" s="17"/>
      <c r="DX103" s="17"/>
      <c r="DY103" s="17"/>
      <c r="DZ103" s="17"/>
      <c r="EA103" s="22"/>
      <c r="EB103" s="17"/>
      <c r="EC103" s="16"/>
      <c r="ED103" s="18"/>
      <c r="EE103" s="19"/>
      <c r="EF103" s="20"/>
      <c r="EG103" s="21"/>
      <c r="EH103" s="18"/>
      <c r="EI103" s="17"/>
      <c r="EJ103" s="18"/>
      <c r="EK103" s="18"/>
      <c r="EL103" s="18"/>
      <c r="EM103" s="17"/>
      <c r="EN103" s="17"/>
      <c r="EO103" s="17"/>
      <c r="EP103" s="17"/>
      <c r="EQ103" s="17"/>
      <c r="ER103" s="17"/>
      <c r="ES103" s="17"/>
      <c r="ET103" s="17"/>
      <c r="EU103" s="22"/>
      <c r="EV103" s="17"/>
      <c r="EW103" s="16"/>
      <c r="EX103" s="18"/>
      <c r="EY103" s="19"/>
      <c r="EZ103" s="20"/>
      <c r="FA103" s="21"/>
      <c r="FB103" s="18"/>
      <c r="FC103" s="17"/>
      <c r="FD103" s="18"/>
      <c r="FE103" s="18"/>
      <c r="FF103" s="18"/>
      <c r="FG103" s="17"/>
      <c r="FH103" s="17"/>
      <c r="FI103" s="17"/>
      <c r="FJ103" s="17"/>
      <c r="FK103" s="17"/>
      <c r="FL103" s="17"/>
      <c r="FM103" s="17"/>
      <c r="FN103" s="17"/>
      <c r="FO103" s="22"/>
      <c r="FP103" s="17"/>
      <c r="FQ103" s="16"/>
      <c r="FR103" s="18"/>
      <c r="FS103" s="19"/>
      <c r="FT103" s="20"/>
      <c r="FU103" s="21"/>
      <c r="FV103" s="18"/>
      <c r="FW103" s="17"/>
      <c r="FX103" s="18"/>
      <c r="FY103" s="18"/>
      <c r="FZ103" s="18"/>
      <c r="GA103" s="17"/>
      <c r="GB103" s="17"/>
      <c r="GC103" s="17"/>
      <c r="GD103" s="17"/>
      <c r="GE103" s="17"/>
      <c r="GF103" s="17"/>
      <c r="GG103" s="17"/>
      <c r="GH103" s="17"/>
      <c r="GI103" s="22"/>
      <c r="GJ103" s="17"/>
      <c r="GK103" s="16"/>
      <c r="GL103" s="18"/>
      <c r="GM103" s="19"/>
      <c r="GN103" s="20"/>
      <c r="GO103" s="21"/>
      <c r="GP103" s="18"/>
      <c r="GQ103" s="17"/>
      <c r="GR103" s="18"/>
      <c r="GS103" s="18"/>
      <c r="GT103" s="18"/>
      <c r="GU103" s="17"/>
      <c r="GV103" s="17"/>
      <c r="GW103" s="17"/>
      <c r="GX103" s="17"/>
      <c r="GY103" s="17"/>
      <c r="GZ103" s="17"/>
      <c r="HA103" s="17"/>
      <c r="HB103" s="17"/>
      <c r="HC103" s="22"/>
      <c r="HD103" s="17"/>
      <c r="HE103" s="16"/>
      <c r="HF103" s="18"/>
      <c r="HG103" s="19"/>
      <c r="HH103" s="20"/>
      <c r="HI103" s="21"/>
      <c r="HJ103" s="18"/>
      <c r="HK103" s="17"/>
      <c r="HL103" s="18"/>
      <c r="HM103" s="18"/>
      <c r="HN103" s="18"/>
      <c r="HO103" s="17"/>
      <c r="HP103" s="17"/>
      <c r="HQ103" s="17"/>
      <c r="HR103" s="17"/>
      <c r="HS103" s="17"/>
      <c r="HT103" s="17"/>
      <c r="HU103" s="17"/>
      <c r="HV103" s="17"/>
      <c r="HW103" s="22"/>
      <c r="HX103" s="17"/>
      <c r="HY103" s="16"/>
      <c r="HZ103" s="18"/>
      <c r="IA103" s="19"/>
      <c r="IB103" s="20"/>
      <c r="IC103" s="21"/>
      <c r="ID103" s="18"/>
      <c r="IE103" s="17"/>
      <c r="IF103" s="18"/>
      <c r="IG103" s="18"/>
      <c r="IH103" s="18"/>
      <c r="II103" s="17"/>
      <c r="IJ103" s="17"/>
      <c r="IK103" s="17"/>
      <c r="IL103" s="17"/>
      <c r="IM103" s="17"/>
    </row>
    <row r="104" spans="1:247" s="26" customFormat="1" ht="45" customHeight="1">
      <c r="A104" s="30">
        <v>105</v>
      </c>
      <c r="B104" s="49" t="s">
        <v>248</v>
      </c>
      <c r="C104" s="45" t="s">
        <v>38</v>
      </c>
      <c r="D104" s="46"/>
      <c r="E104" s="47">
        <v>587896</v>
      </c>
      <c r="F104" s="48">
        <v>4</v>
      </c>
      <c r="G104" s="45" t="s">
        <v>5565</v>
      </c>
      <c r="H104" s="30" t="s">
        <v>911</v>
      </c>
      <c r="I104" s="45" t="s">
        <v>222</v>
      </c>
      <c r="J104" s="45" t="s">
        <v>223</v>
      </c>
      <c r="K104" s="61" t="s">
        <v>5977</v>
      </c>
      <c r="L104" s="28"/>
      <c r="M104" s="16"/>
      <c r="N104" s="18"/>
      <c r="O104" s="19"/>
      <c r="P104" s="20"/>
      <c r="Q104" s="21"/>
      <c r="R104" s="18"/>
      <c r="S104" s="17"/>
      <c r="T104" s="18"/>
      <c r="U104" s="18"/>
      <c r="V104" s="18"/>
      <c r="W104" s="17"/>
      <c r="X104" s="17"/>
      <c r="Y104" s="17"/>
      <c r="Z104" s="17"/>
      <c r="AA104" s="17"/>
      <c r="AB104" s="17"/>
      <c r="AC104" s="17"/>
      <c r="AD104" s="17"/>
      <c r="AE104" s="22"/>
      <c r="AF104" s="17"/>
      <c r="AG104" s="16"/>
      <c r="AH104" s="18"/>
      <c r="AI104" s="19"/>
      <c r="AJ104" s="20"/>
      <c r="AK104" s="21"/>
      <c r="AL104" s="18"/>
      <c r="AM104" s="17"/>
      <c r="AN104" s="18"/>
      <c r="AO104" s="18"/>
      <c r="AP104" s="18"/>
      <c r="AQ104" s="17"/>
      <c r="AR104" s="17"/>
      <c r="AS104" s="17"/>
      <c r="AT104" s="17"/>
      <c r="AU104" s="17"/>
      <c r="AV104" s="17"/>
      <c r="AW104" s="17"/>
      <c r="AX104" s="17"/>
      <c r="AY104" s="22"/>
      <c r="AZ104" s="17"/>
      <c r="BA104" s="16"/>
      <c r="BB104" s="18"/>
      <c r="BC104" s="19"/>
      <c r="BD104" s="20"/>
      <c r="BE104" s="21"/>
      <c r="BF104" s="18"/>
      <c r="BG104" s="17"/>
      <c r="BH104" s="18"/>
      <c r="BI104" s="18"/>
      <c r="BJ104" s="18"/>
      <c r="BK104" s="17"/>
      <c r="BL104" s="17"/>
      <c r="BM104" s="17"/>
      <c r="BN104" s="17"/>
      <c r="BO104" s="17"/>
      <c r="BP104" s="17"/>
      <c r="BQ104" s="17"/>
      <c r="BR104" s="17"/>
      <c r="BS104" s="22"/>
      <c r="BT104" s="17"/>
      <c r="BU104" s="16"/>
      <c r="BV104" s="18"/>
      <c r="BW104" s="19"/>
      <c r="BX104" s="20"/>
      <c r="BY104" s="21"/>
      <c r="BZ104" s="18"/>
      <c r="CA104" s="17"/>
      <c r="CB104" s="18"/>
      <c r="CC104" s="18"/>
      <c r="CD104" s="18"/>
      <c r="CE104" s="17"/>
      <c r="CF104" s="17"/>
      <c r="CG104" s="17"/>
      <c r="CH104" s="17"/>
      <c r="CI104" s="17"/>
      <c r="CJ104" s="17"/>
      <c r="CK104" s="17"/>
      <c r="CL104" s="17"/>
      <c r="CM104" s="22"/>
      <c r="CN104" s="17"/>
      <c r="CO104" s="16"/>
      <c r="CP104" s="18"/>
      <c r="CQ104" s="19"/>
      <c r="CR104" s="20"/>
      <c r="CS104" s="21"/>
      <c r="CT104" s="18"/>
      <c r="CU104" s="17"/>
      <c r="CV104" s="18"/>
      <c r="CW104" s="18"/>
      <c r="CX104" s="18"/>
      <c r="CY104" s="17"/>
      <c r="CZ104" s="17"/>
      <c r="DA104" s="17"/>
      <c r="DB104" s="17"/>
      <c r="DC104" s="17"/>
      <c r="DD104" s="17"/>
      <c r="DE104" s="17"/>
      <c r="DF104" s="17"/>
      <c r="DG104" s="22"/>
      <c r="DH104" s="17"/>
      <c r="DI104" s="16"/>
      <c r="DJ104" s="18"/>
      <c r="DK104" s="19"/>
      <c r="DL104" s="20"/>
      <c r="DM104" s="21"/>
      <c r="DN104" s="18"/>
      <c r="DO104" s="17"/>
      <c r="DP104" s="18"/>
      <c r="DQ104" s="18"/>
      <c r="DR104" s="18"/>
      <c r="DS104" s="17"/>
      <c r="DT104" s="17"/>
      <c r="DU104" s="17"/>
      <c r="DV104" s="17"/>
      <c r="DW104" s="17"/>
      <c r="DX104" s="17"/>
      <c r="DY104" s="17"/>
      <c r="DZ104" s="17"/>
      <c r="EA104" s="22"/>
      <c r="EB104" s="17"/>
      <c r="EC104" s="16"/>
      <c r="ED104" s="18"/>
      <c r="EE104" s="19"/>
      <c r="EF104" s="20"/>
      <c r="EG104" s="21"/>
      <c r="EH104" s="18"/>
      <c r="EI104" s="17"/>
      <c r="EJ104" s="18"/>
      <c r="EK104" s="18"/>
      <c r="EL104" s="18"/>
      <c r="EM104" s="17"/>
      <c r="EN104" s="17"/>
      <c r="EO104" s="17"/>
      <c r="EP104" s="17"/>
      <c r="EQ104" s="17"/>
      <c r="ER104" s="17"/>
      <c r="ES104" s="17"/>
      <c r="ET104" s="17"/>
      <c r="EU104" s="22"/>
      <c r="EV104" s="17"/>
      <c r="EW104" s="16"/>
      <c r="EX104" s="18"/>
      <c r="EY104" s="19"/>
      <c r="EZ104" s="20"/>
      <c r="FA104" s="21"/>
      <c r="FB104" s="18"/>
      <c r="FC104" s="17"/>
      <c r="FD104" s="18"/>
      <c r="FE104" s="18"/>
      <c r="FF104" s="18"/>
      <c r="FG104" s="17"/>
      <c r="FH104" s="17"/>
      <c r="FI104" s="17"/>
      <c r="FJ104" s="17"/>
      <c r="FK104" s="17"/>
      <c r="FL104" s="17"/>
      <c r="FM104" s="17"/>
      <c r="FN104" s="17"/>
      <c r="FO104" s="22"/>
      <c r="FP104" s="17"/>
      <c r="FQ104" s="16"/>
      <c r="FR104" s="18"/>
      <c r="FS104" s="19"/>
      <c r="FT104" s="20"/>
      <c r="FU104" s="21"/>
      <c r="FV104" s="18"/>
      <c r="FW104" s="17"/>
      <c r="FX104" s="18"/>
      <c r="FY104" s="18"/>
      <c r="FZ104" s="18"/>
      <c r="GA104" s="17"/>
      <c r="GB104" s="17"/>
      <c r="GC104" s="17"/>
      <c r="GD104" s="17"/>
      <c r="GE104" s="17"/>
      <c r="GF104" s="17"/>
      <c r="GG104" s="17"/>
      <c r="GH104" s="17"/>
      <c r="GI104" s="22"/>
      <c r="GJ104" s="17"/>
      <c r="GK104" s="16"/>
      <c r="GL104" s="18"/>
      <c r="GM104" s="19"/>
      <c r="GN104" s="20"/>
      <c r="GO104" s="21"/>
      <c r="GP104" s="18"/>
      <c r="GQ104" s="17"/>
      <c r="GR104" s="18"/>
      <c r="GS104" s="18"/>
      <c r="GT104" s="18"/>
      <c r="GU104" s="17"/>
      <c r="GV104" s="17"/>
      <c r="GW104" s="17"/>
      <c r="GX104" s="17"/>
      <c r="GY104" s="17"/>
      <c r="GZ104" s="17"/>
      <c r="HA104" s="17"/>
      <c r="HB104" s="17"/>
      <c r="HC104" s="22"/>
      <c r="HD104" s="17"/>
      <c r="HE104" s="16"/>
      <c r="HF104" s="18"/>
      <c r="HG104" s="19"/>
      <c r="HH104" s="20"/>
      <c r="HI104" s="21"/>
      <c r="HJ104" s="18"/>
      <c r="HK104" s="17"/>
      <c r="HL104" s="18"/>
      <c r="HM104" s="18"/>
      <c r="HN104" s="18"/>
      <c r="HO104" s="17"/>
      <c r="HP104" s="17"/>
      <c r="HQ104" s="17"/>
      <c r="HR104" s="17"/>
      <c r="HS104" s="17"/>
      <c r="HT104" s="17"/>
      <c r="HU104" s="17"/>
      <c r="HV104" s="17"/>
      <c r="HW104" s="22"/>
      <c r="HX104" s="17"/>
      <c r="HY104" s="16"/>
      <c r="HZ104" s="18"/>
      <c r="IA104" s="19"/>
      <c r="IB104" s="20"/>
      <c r="IC104" s="21"/>
      <c r="ID104" s="18"/>
      <c r="IE104" s="17"/>
      <c r="IF104" s="18"/>
      <c r="IG104" s="18"/>
      <c r="IH104" s="18"/>
      <c r="II104" s="17"/>
      <c r="IJ104" s="17"/>
      <c r="IK104" s="17"/>
      <c r="IL104" s="17"/>
      <c r="IM104" s="17"/>
    </row>
    <row r="105" spans="1:247" s="26" customFormat="1" ht="45" customHeight="1">
      <c r="A105" s="30">
        <v>105</v>
      </c>
      <c r="B105" s="45" t="s">
        <v>865</v>
      </c>
      <c r="C105" s="45" t="s">
        <v>38</v>
      </c>
      <c r="D105" s="46"/>
      <c r="E105" s="47">
        <v>12200</v>
      </c>
      <c r="F105" s="48">
        <v>4</v>
      </c>
      <c r="G105" s="45" t="s">
        <v>5566</v>
      </c>
      <c r="H105" s="30" t="s">
        <v>903</v>
      </c>
      <c r="I105" s="45" t="s">
        <v>100</v>
      </c>
      <c r="J105" s="45" t="s">
        <v>101</v>
      </c>
      <c r="K105" s="61" t="s">
        <v>5978</v>
      </c>
      <c r="L105" s="28"/>
      <c r="M105" s="16"/>
      <c r="N105" s="18"/>
      <c r="O105" s="19"/>
      <c r="P105" s="20"/>
      <c r="Q105" s="21"/>
      <c r="R105" s="18"/>
      <c r="S105" s="17"/>
      <c r="T105" s="18"/>
      <c r="U105" s="18"/>
      <c r="V105" s="18"/>
      <c r="W105" s="17"/>
      <c r="X105" s="17"/>
      <c r="Y105" s="17"/>
      <c r="Z105" s="17"/>
      <c r="AA105" s="17"/>
      <c r="AB105" s="17"/>
      <c r="AC105" s="17"/>
      <c r="AD105" s="17"/>
      <c r="AE105" s="22"/>
      <c r="AF105" s="17"/>
      <c r="AG105" s="16"/>
      <c r="AH105" s="18"/>
      <c r="AI105" s="19"/>
      <c r="AJ105" s="20"/>
      <c r="AK105" s="21"/>
      <c r="AL105" s="18"/>
      <c r="AM105" s="17"/>
      <c r="AN105" s="18"/>
      <c r="AO105" s="18"/>
      <c r="AP105" s="18"/>
      <c r="AQ105" s="17"/>
      <c r="AR105" s="17"/>
      <c r="AS105" s="17"/>
      <c r="AT105" s="17"/>
      <c r="AU105" s="17"/>
      <c r="AV105" s="17"/>
      <c r="AW105" s="17"/>
      <c r="AX105" s="17"/>
      <c r="AY105" s="22"/>
      <c r="AZ105" s="17"/>
      <c r="BA105" s="16"/>
      <c r="BB105" s="18"/>
      <c r="BC105" s="19"/>
      <c r="BD105" s="20"/>
      <c r="BE105" s="21"/>
      <c r="BF105" s="18"/>
      <c r="BG105" s="17"/>
      <c r="BH105" s="18"/>
      <c r="BI105" s="18"/>
      <c r="BJ105" s="18"/>
      <c r="BK105" s="17"/>
      <c r="BL105" s="17"/>
      <c r="BM105" s="17"/>
      <c r="BN105" s="17"/>
      <c r="BO105" s="17"/>
      <c r="BP105" s="17"/>
      <c r="BQ105" s="17"/>
      <c r="BR105" s="17"/>
      <c r="BS105" s="22"/>
      <c r="BT105" s="17"/>
      <c r="BU105" s="16"/>
      <c r="BV105" s="18"/>
      <c r="BW105" s="19"/>
      <c r="BX105" s="20"/>
      <c r="BY105" s="21"/>
      <c r="BZ105" s="18"/>
      <c r="CA105" s="17"/>
      <c r="CB105" s="18"/>
      <c r="CC105" s="18"/>
      <c r="CD105" s="18"/>
      <c r="CE105" s="17"/>
      <c r="CF105" s="17"/>
      <c r="CG105" s="17"/>
      <c r="CH105" s="17"/>
      <c r="CI105" s="17"/>
      <c r="CJ105" s="17"/>
      <c r="CK105" s="17"/>
      <c r="CL105" s="17"/>
      <c r="CM105" s="22"/>
      <c r="CN105" s="17"/>
      <c r="CO105" s="16"/>
      <c r="CP105" s="18"/>
      <c r="CQ105" s="19"/>
      <c r="CR105" s="20"/>
      <c r="CS105" s="21"/>
      <c r="CT105" s="18"/>
      <c r="CU105" s="17"/>
      <c r="CV105" s="18"/>
      <c r="CW105" s="18"/>
      <c r="CX105" s="18"/>
      <c r="CY105" s="17"/>
      <c r="CZ105" s="17"/>
      <c r="DA105" s="17"/>
      <c r="DB105" s="17"/>
      <c r="DC105" s="17"/>
      <c r="DD105" s="17"/>
      <c r="DE105" s="17"/>
      <c r="DF105" s="17"/>
      <c r="DG105" s="22"/>
      <c r="DH105" s="17"/>
      <c r="DI105" s="16"/>
      <c r="DJ105" s="18"/>
      <c r="DK105" s="19"/>
      <c r="DL105" s="20"/>
      <c r="DM105" s="21"/>
      <c r="DN105" s="18"/>
      <c r="DO105" s="17"/>
      <c r="DP105" s="18"/>
      <c r="DQ105" s="18"/>
      <c r="DR105" s="18"/>
      <c r="DS105" s="17"/>
      <c r="DT105" s="17"/>
      <c r="DU105" s="17"/>
      <c r="DV105" s="17"/>
      <c r="DW105" s="17"/>
      <c r="DX105" s="17"/>
      <c r="DY105" s="17"/>
      <c r="DZ105" s="17"/>
      <c r="EA105" s="22"/>
      <c r="EB105" s="17"/>
      <c r="EC105" s="16"/>
      <c r="ED105" s="18"/>
      <c r="EE105" s="19"/>
      <c r="EF105" s="20"/>
      <c r="EG105" s="21"/>
      <c r="EH105" s="18"/>
      <c r="EI105" s="17"/>
      <c r="EJ105" s="18"/>
      <c r="EK105" s="18"/>
      <c r="EL105" s="18"/>
      <c r="EM105" s="17"/>
      <c r="EN105" s="17"/>
      <c r="EO105" s="17"/>
      <c r="EP105" s="17"/>
      <c r="EQ105" s="17"/>
      <c r="ER105" s="17"/>
      <c r="ES105" s="17"/>
      <c r="ET105" s="17"/>
      <c r="EU105" s="22"/>
      <c r="EV105" s="17"/>
      <c r="EW105" s="16"/>
      <c r="EX105" s="18"/>
      <c r="EY105" s="19"/>
      <c r="EZ105" s="20"/>
      <c r="FA105" s="21"/>
      <c r="FB105" s="18"/>
      <c r="FC105" s="17"/>
      <c r="FD105" s="18"/>
      <c r="FE105" s="18"/>
      <c r="FF105" s="18"/>
      <c r="FG105" s="17"/>
      <c r="FH105" s="17"/>
      <c r="FI105" s="17"/>
      <c r="FJ105" s="17"/>
      <c r="FK105" s="17"/>
      <c r="FL105" s="17"/>
      <c r="FM105" s="17"/>
      <c r="FN105" s="17"/>
      <c r="FO105" s="22"/>
      <c r="FP105" s="17"/>
      <c r="FQ105" s="16"/>
      <c r="FR105" s="18"/>
      <c r="FS105" s="19"/>
      <c r="FT105" s="20"/>
      <c r="FU105" s="21"/>
      <c r="FV105" s="18"/>
      <c r="FW105" s="17"/>
      <c r="FX105" s="18"/>
      <c r="FY105" s="18"/>
      <c r="FZ105" s="18"/>
      <c r="GA105" s="17"/>
      <c r="GB105" s="17"/>
      <c r="GC105" s="17"/>
      <c r="GD105" s="17"/>
      <c r="GE105" s="17"/>
      <c r="GF105" s="17"/>
      <c r="GG105" s="17"/>
      <c r="GH105" s="17"/>
      <c r="GI105" s="22"/>
      <c r="GJ105" s="17"/>
      <c r="GK105" s="16"/>
      <c r="GL105" s="18"/>
      <c r="GM105" s="19"/>
      <c r="GN105" s="20"/>
      <c r="GO105" s="21"/>
      <c r="GP105" s="18"/>
      <c r="GQ105" s="17"/>
      <c r="GR105" s="18"/>
      <c r="GS105" s="18"/>
      <c r="GT105" s="18"/>
      <c r="GU105" s="17"/>
      <c r="GV105" s="17"/>
      <c r="GW105" s="17"/>
      <c r="GX105" s="17"/>
      <c r="GY105" s="17"/>
      <c r="GZ105" s="17"/>
      <c r="HA105" s="17"/>
      <c r="HB105" s="17"/>
      <c r="HC105" s="22"/>
      <c r="HD105" s="17"/>
      <c r="HE105" s="16"/>
      <c r="HF105" s="18"/>
      <c r="HG105" s="19"/>
      <c r="HH105" s="20"/>
      <c r="HI105" s="21"/>
      <c r="HJ105" s="18"/>
      <c r="HK105" s="17"/>
      <c r="HL105" s="18"/>
      <c r="HM105" s="18"/>
      <c r="HN105" s="18"/>
      <c r="HO105" s="17"/>
      <c r="HP105" s="17"/>
      <c r="HQ105" s="17"/>
      <c r="HR105" s="17"/>
      <c r="HS105" s="17"/>
      <c r="HT105" s="17"/>
      <c r="HU105" s="17"/>
      <c r="HV105" s="17"/>
      <c r="HW105" s="22"/>
      <c r="HX105" s="17"/>
      <c r="HY105" s="16"/>
      <c r="HZ105" s="18"/>
      <c r="IA105" s="19"/>
      <c r="IB105" s="20"/>
      <c r="IC105" s="21"/>
      <c r="ID105" s="18"/>
      <c r="IE105" s="17"/>
      <c r="IF105" s="18"/>
      <c r="IG105" s="18"/>
      <c r="IH105" s="18"/>
      <c r="II105" s="17"/>
      <c r="IJ105" s="17"/>
      <c r="IK105" s="17"/>
      <c r="IL105" s="17"/>
      <c r="IM105" s="17"/>
    </row>
    <row r="106" spans="1:247" s="26" customFormat="1" ht="45" customHeight="1">
      <c r="A106" s="30">
        <v>105</v>
      </c>
      <c r="B106" s="45" t="s">
        <v>211</v>
      </c>
      <c r="C106" s="45" t="s">
        <v>38</v>
      </c>
      <c r="D106" s="46"/>
      <c r="E106" s="47">
        <v>28321</v>
      </c>
      <c r="F106" s="48">
        <v>4</v>
      </c>
      <c r="G106" s="45" t="s">
        <v>849</v>
      </c>
      <c r="H106" s="30" t="s">
        <v>850</v>
      </c>
      <c r="I106" s="45" t="s">
        <v>107</v>
      </c>
      <c r="J106" s="45" t="s">
        <v>851</v>
      </c>
      <c r="K106" s="50" t="str">
        <f>"00029695"</f>
        <v>00029695</v>
      </c>
      <c r="L106" s="28"/>
      <c r="M106" s="16"/>
      <c r="N106" s="18"/>
      <c r="O106" s="19"/>
      <c r="P106" s="20"/>
      <c r="Q106" s="21"/>
      <c r="R106" s="18"/>
      <c r="S106" s="17"/>
      <c r="T106" s="18"/>
      <c r="U106" s="18"/>
      <c r="V106" s="18"/>
      <c r="W106" s="17"/>
      <c r="X106" s="17"/>
      <c r="Y106" s="17"/>
      <c r="Z106" s="17"/>
      <c r="AA106" s="17"/>
      <c r="AB106" s="17"/>
      <c r="AC106" s="17"/>
      <c r="AD106" s="17"/>
      <c r="AE106" s="22"/>
      <c r="AF106" s="17"/>
      <c r="AG106" s="16"/>
      <c r="AH106" s="18"/>
      <c r="AI106" s="19"/>
      <c r="AJ106" s="20"/>
      <c r="AK106" s="21"/>
      <c r="AL106" s="18"/>
      <c r="AM106" s="17"/>
      <c r="AN106" s="18"/>
      <c r="AO106" s="18"/>
      <c r="AP106" s="18"/>
      <c r="AQ106" s="17"/>
      <c r="AR106" s="17"/>
      <c r="AS106" s="17"/>
      <c r="AT106" s="17"/>
      <c r="AU106" s="17"/>
      <c r="AV106" s="17"/>
      <c r="AW106" s="17"/>
      <c r="AX106" s="17"/>
      <c r="AY106" s="22"/>
      <c r="AZ106" s="17"/>
      <c r="BA106" s="16"/>
      <c r="BB106" s="18"/>
      <c r="BC106" s="19"/>
      <c r="BD106" s="20"/>
      <c r="BE106" s="21"/>
      <c r="BF106" s="18"/>
      <c r="BG106" s="17"/>
      <c r="BH106" s="18"/>
      <c r="BI106" s="18"/>
      <c r="BJ106" s="18"/>
      <c r="BK106" s="17"/>
      <c r="BL106" s="17"/>
      <c r="BM106" s="17"/>
      <c r="BN106" s="17"/>
      <c r="BO106" s="17"/>
      <c r="BP106" s="17"/>
      <c r="BQ106" s="17"/>
      <c r="BR106" s="17"/>
      <c r="BS106" s="22"/>
      <c r="BT106" s="17"/>
      <c r="BU106" s="16"/>
      <c r="BV106" s="18"/>
      <c r="BW106" s="19"/>
      <c r="BX106" s="20"/>
      <c r="BY106" s="21"/>
      <c r="BZ106" s="18"/>
      <c r="CA106" s="17"/>
      <c r="CB106" s="18"/>
      <c r="CC106" s="18"/>
      <c r="CD106" s="18"/>
      <c r="CE106" s="17"/>
      <c r="CF106" s="17"/>
      <c r="CG106" s="17"/>
      <c r="CH106" s="17"/>
      <c r="CI106" s="17"/>
      <c r="CJ106" s="17"/>
      <c r="CK106" s="17"/>
      <c r="CL106" s="17"/>
      <c r="CM106" s="22"/>
      <c r="CN106" s="17"/>
      <c r="CO106" s="16"/>
      <c r="CP106" s="18"/>
      <c r="CQ106" s="19"/>
      <c r="CR106" s="20"/>
      <c r="CS106" s="21"/>
      <c r="CT106" s="18"/>
      <c r="CU106" s="17"/>
      <c r="CV106" s="18"/>
      <c r="CW106" s="18"/>
      <c r="CX106" s="18"/>
      <c r="CY106" s="17"/>
      <c r="CZ106" s="17"/>
      <c r="DA106" s="17"/>
      <c r="DB106" s="17"/>
      <c r="DC106" s="17"/>
      <c r="DD106" s="17"/>
      <c r="DE106" s="17"/>
      <c r="DF106" s="17"/>
      <c r="DG106" s="22"/>
      <c r="DH106" s="17"/>
      <c r="DI106" s="16"/>
      <c r="DJ106" s="18"/>
      <c r="DK106" s="19"/>
      <c r="DL106" s="20"/>
      <c r="DM106" s="21"/>
      <c r="DN106" s="18"/>
      <c r="DO106" s="17"/>
      <c r="DP106" s="18"/>
      <c r="DQ106" s="18"/>
      <c r="DR106" s="18"/>
      <c r="DS106" s="17"/>
      <c r="DT106" s="17"/>
      <c r="DU106" s="17"/>
      <c r="DV106" s="17"/>
      <c r="DW106" s="17"/>
      <c r="DX106" s="17"/>
      <c r="DY106" s="17"/>
      <c r="DZ106" s="17"/>
      <c r="EA106" s="22"/>
      <c r="EB106" s="17"/>
      <c r="EC106" s="16"/>
      <c r="ED106" s="18"/>
      <c r="EE106" s="19"/>
      <c r="EF106" s="20"/>
      <c r="EG106" s="21"/>
      <c r="EH106" s="18"/>
      <c r="EI106" s="17"/>
      <c r="EJ106" s="18"/>
      <c r="EK106" s="18"/>
      <c r="EL106" s="18"/>
      <c r="EM106" s="17"/>
      <c r="EN106" s="17"/>
      <c r="EO106" s="17"/>
      <c r="EP106" s="17"/>
      <c r="EQ106" s="17"/>
      <c r="ER106" s="17"/>
      <c r="ES106" s="17"/>
      <c r="ET106" s="17"/>
      <c r="EU106" s="22"/>
      <c r="EV106" s="17"/>
      <c r="EW106" s="16"/>
      <c r="EX106" s="18"/>
      <c r="EY106" s="19"/>
      <c r="EZ106" s="20"/>
      <c r="FA106" s="21"/>
      <c r="FB106" s="18"/>
      <c r="FC106" s="17"/>
      <c r="FD106" s="18"/>
      <c r="FE106" s="18"/>
      <c r="FF106" s="18"/>
      <c r="FG106" s="17"/>
      <c r="FH106" s="17"/>
      <c r="FI106" s="17"/>
      <c r="FJ106" s="17"/>
      <c r="FK106" s="17"/>
      <c r="FL106" s="17"/>
      <c r="FM106" s="17"/>
      <c r="FN106" s="17"/>
      <c r="FO106" s="22"/>
      <c r="FP106" s="17"/>
      <c r="FQ106" s="16"/>
      <c r="FR106" s="18"/>
      <c r="FS106" s="19"/>
      <c r="FT106" s="20"/>
      <c r="FU106" s="21"/>
      <c r="FV106" s="18"/>
      <c r="FW106" s="17"/>
      <c r="FX106" s="18"/>
      <c r="FY106" s="18"/>
      <c r="FZ106" s="18"/>
      <c r="GA106" s="17"/>
      <c r="GB106" s="17"/>
      <c r="GC106" s="17"/>
      <c r="GD106" s="17"/>
      <c r="GE106" s="17"/>
      <c r="GF106" s="17"/>
      <c r="GG106" s="17"/>
      <c r="GH106" s="17"/>
      <c r="GI106" s="22"/>
      <c r="GJ106" s="17"/>
      <c r="GK106" s="16"/>
      <c r="GL106" s="18"/>
      <c r="GM106" s="19"/>
      <c r="GN106" s="20"/>
      <c r="GO106" s="21"/>
      <c r="GP106" s="18"/>
      <c r="GQ106" s="17"/>
      <c r="GR106" s="18"/>
      <c r="GS106" s="18"/>
      <c r="GT106" s="18"/>
      <c r="GU106" s="17"/>
      <c r="GV106" s="17"/>
      <c r="GW106" s="17"/>
      <c r="GX106" s="17"/>
      <c r="GY106" s="17"/>
      <c r="GZ106" s="17"/>
      <c r="HA106" s="17"/>
      <c r="HB106" s="17"/>
      <c r="HC106" s="22"/>
      <c r="HD106" s="17"/>
      <c r="HE106" s="16"/>
      <c r="HF106" s="18"/>
      <c r="HG106" s="19"/>
      <c r="HH106" s="20"/>
      <c r="HI106" s="21"/>
      <c r="HJ106" s="18"/>
      <c r="HK106" s="17"/>
      <c r="HL106" s="18"/>
      <c r="HM106" s="18"/>
      <c r="HN106" s="18"/>
      <c r="HO106" s="17"/>
      <c r="HP106" s="17"/>
      <c r="HQ106" s="17"/>
      <c r="HR106" s="17"/>
      <c r="HS106" s="17"/>
      <c r="HT106" s="17"/>
      <c r="HU106" s="17"/>
      <c r="HV106" s="17"/>
      <c r="HW106" s="22"/>
      <c r="HX106" s="17"/>
      <c r="HY106" s="16"/>
      <c r="HZ106" s="18"/>
      <c r="IA106" s="19"/>
      <c r="IB106" s="20"/>
      <c r="IC106" s="21"/>
      <c r="ID106" s="18"/>
      <c r="IE106" s="17"/>
      <c r="IF106" s="18"/>
      <c r="IG106" s="18"/>
      <c r="IH106" s="18"/>
      <c r="II106" s="17"/>
      <c r="IJ106" s="17"/>
      <c r="IK106" s="17"/>
      <c r="IL106" s="17"/>
      <c r="IM106" s="17"/>
    </row>
    <row r="107" spans="1:247" s="26" customFormat="1" ht="45" customHeight="1">
      <c r="A107" s="30">
        <v>105</v>
      </c>
      <c r="B107" s="45" t="s">
        <v>252</v>
      </c>
      <c r="C107" s="45" t="s">
        <v>38</v>
      </c>
      <c r="D107" s="46"/>
      <c r="E107" s="47">
        <v>30837</v>
      </c>
      <c r="F107" s="48">
        <v>4</v>
      </c>
      <c r="G107" s="45" t="s">
        <v>907</v>
      </c>
      <c r="H107" s="30" t="s">
        <v>920</v>
      </c>
      <c r="I107" s="45" t="s">
        <v>98</v>
      </c>
      <c r="J107" s="45" t="s">
        <v>909</v>
      </c>
      <c r="K107" s="50" t="str">
        <f>"00028889"</f>
        <v>00028889</v>
      </c>
      <c r="L107" s="28"/>
      <c r="M107" s="16"/>
      <c r="N107" s="18"/>
      <c r="O107" s="19"/>
      <c r="P107" s="20"/>
      <c r="Q107" s="21"/>
      <c r="R107" s="18"/>
      <c r="S107" s="17"/>
      <c r="T107" s="18"/>
      <c r="U107" s="18"/>
      <c r="V107" s="18"/>
      <c r="W107" s="17"/>
      <c r="X107" s="17"/>
      <c r="Y107" s="17"/>
      <c r="Z107" s="17"/>
      <c r="AA107" s="17"/>
      <c r="AB107" s="17"/>
      <c r="AC107" s="17"/>
      <c r="AD107" s="17"/>
      <c r="AE107" s="22"/>
      <c r="AF107" s="17"/>
      <c r="AG107" s="16"/>
      <c r="AH107" s="18"/>
      <c r="AI107" s="19"/>
      <c r="AJ107" s="20"/>
      <c r="AK107" s="21"/>
      <c r="AL107" s="18"/>
      <c r="AM107" s="17"/>
      <c r="AN107" s="18"/>
      <c r="AO107" s="18"/>
      <c r="AP107" s="18"/>
      <c r="AQ107" s="17"/>
      <c r="AR107" s="17"/>
      <c r="AS107" s="17"/>
      <c r="AT107" s="17"/>
      <c r="AU107" s="17"/>
      <c r="AV107" s="17"/>
      <c r="AW107" s="17"/>
      <c r="AX107" s="17"/>
      <c r="AY107" s="22"/>
      <c r="AZ107" s="17"/>
      <c r="BA107" s="16"/>
      <c r="BB107" s="18"/>
      <c r="BC107" s="19"/>
      <c r="BD107" s="20"/>
      <c r="BE107" s="21"/>
      <c r="BF107" s="18"/>
      <c r="BG107" s="17"/>
      <c r="BH107" s="18"/>
      <c r="BI107" s="18"/>
      <c r="BJ107" s="18"/>
      <c r="BK107" s="17"/>
      <c r="BL107" s="17"/>
      <c r="BM107" s="17"/>
      <c r="BN107" s="17"/>
      <c r="BO107" s="17"/>
      <c r="BP107" s="17"/>
      <c r="BQ107" s="17"/>
      <c r="BR107" s="17"/>
      <c r="BS107" s="22"/>
      <c r="BT107" s="17"/>
      <c r="BU107" s="16"/>
      <c r="BV107" s="18"/>
      <c r="BW107" s="19"/>
      <c r="BX107" s="20"/>
      <c r="BY107" s="21"/>
      <c r="BZ107" s="18"/>
      <c r="CA107" s="17"/>
      <c r="CB107" s="18"/>
      <c r="CC107" s="18"/>
      <c r="CD107" s="18"/>
      <c r="CE107" s="17"/>
      <c r="CF107" s="17"/>
      <c r="CG107" s="17"/>
      <c r="CH107" s="17"/>
      <c r="CI107" s="17"/>
      <c r="CJ107" s="17"/>
      <c r="CK107" s="17"/>
      <c r="CL107" s="17"/>
      <c r="CM107" s="22"/>
      <c r="CN107" s="17"/>
      <c r="CO107" s="16"/>
      <c r="CP107" s="18"/>
      <c r="CQ107" s="19"/>
      <c r="CR107" s="20"/>
      <c r="CS107" s="21"/>
      <c r="CT107" s="18"/>
      <c r="CU107" s="17"/>
      <c r="CV107" s="18"/>
      <c r="CW107" s="18"/>
      <c r="CX107" s="18"/>
      <c r="CY107" s="17"/>
      <c r="CZ107" s="17"/>
      <c r="DA107" s="17"/>
      <c r="DB107" s="17"/>
      <c r="DC107" s="17"/>
      <c r="DD107" s="17"/>
      <c r="DE107" s="17"/>
      <c r="DF107" s="17"/>
      <c r="DG107" s="22"/>
      <c r="DH107" s="17"/>
      <c r="DI107" s="16"/>
      <c r="DJ107" s="18"/>
      <c r="DK107" s="19"/>
      <c r="DL107" s="20"/>
      <c r="DM107" s="21"/>
      <c r="DN107" s="18"/>
      <c r="DO107" s="17"/>
      <c r="DP107" s="18"/>
      <c r="DQ107" s="18"/>
      <c r="DR107" s="18"/>
      <c r="DS107" s="17"/>
      <c r="DT107" s="17"/>
      <c r="DU107" s="17"/>
      <c r="DV107" s="17"/>
      <c r="DW107" s="17"/>
      <c r="DX107" s="17"/>
      <c r="DY107" s="17"/>
      <c r="DZ107" s="17"/>
      <c r="EA107" s="22"/>
      <c r="EB107" s="17"/>
      <c r="EC107" s="16"/>
      <c r="ED107" s="18"/>
      <c r="EE107" s="19"/>
      <c r="EF107" s="20"/>
      <c r="EG107" s="21"/>
      <c r="EH107" s="18"/>
      <c r="EI107" s="17"/>
      <c r="EJ107" s="18"/>
      <c r="EK107" s="18"/>
      <c r="EL107" s="18"/>
      <c r="EM107" s="17"/>
      <c r="EN107" s="17"/>
      <c r="EO107" s="17"/>
      <c r="EP107" s="17"/>
      <c r="EQ107" s="17"/>
      <c r="ER107" s="17"/>
      <c r="ES107" s="17"/>
      <c r="ET107" s="17"/>
      <c r="EU107" s="22"/>
      <c r="EV107" s="17"/>
      <c r="EW107" s="16"/>
      <c r="EX107" s="18"/>
      <c r="EY107" s="19"/>
      <c r="EZ107" s="20"/>
      <c r="FA107" s="21"/>
      <c r="FB107" s="18"/>
      <c r="FC107" s="17"/>
      <c r="FD107" s="18"/>
      <c r="FE107" s="18"/>
      <c r="FF107" s="18"/>
      <c r="FG107" s="17"/>
      <c r="FH107" s="17"/>
      <c r="FI107" s="17"/>
      <c r="FJ107" s="17"/>
      <c r="FK107" s="17"/>
      <c r="FL107" s="17"/>
      <c r="FM107" s="17"/>
      <c r="FN107" s="17"/>
      <c r="FO107" s="22"/>
      <c r="FP107" s="17"/>
      <c r="FQ107" s="16"/>
      <c r="FR107" s="18"/>
      <c r="FS107" s="19"/>
      <c r="FT107" s="20"/>
      <c r="FU107" s="21"/>
      <c r="FV107" s="18"/>
      <c r="FW107" s="17"/>
      <c r="FX107" s="18"/>
      <c r="FY107" s="18"/>
      <c r="FZ107" s="18"/>
      <c r="GA107" s="17"/>
      <c r="GB107" s="17"/>
      <c r="GC107" s="17"/>
      <c r="GD107" s="17"/>
      <c r="GE107" s="17"/>
      <c r="GF107" s="17"/>
      <c r="GG107" s="17"/>
      <c r="GH107" s="17"/>
      <c r="GI107" s="22"/>
      <c r="GJ107" s="17"/>
      <c r="GK107" s="16"/>
      <c r="GL107" s="18"/>
      <c r="GM107" s="19"/>
      <c r="GN107" s="20"/>
      <c r="GO107" s="21"/>
      <c r="GP107" s="18"/>
      <c r="GQ107" s="17"/>
      <c r="GR107" s="18"/>
      <c r="GS107" s="18"/>
      <c r="GT107" s="18"/>
      <c r="GU107" s="17"/>
      <c r="GV107" s="17"/>
      <c r="GW107" s="17"/>
      <c r="GX107" s="17"/>
      <c r="GY107" s="17"/>
      <c r="GZ107" s="17"/>
      <c r="HA107" s="17"/>
      <c r="HB107" s="17"/>
      <c r="HC107" s="22"/>
      <c r="HD107" s="17"/>
      <c r="HE107" s="16"/>
      <c r="HF107" s="18"/>
      <c r="HG107" s="19"/>
      <c r="HH107" s="20"/>
      <c r="HI107" s="21"/>
      <c r="HJ107" s="18"/>
      <c r="HK107" s="17"/>
      <c r="HL107" s="18"/>
      <c r="HM107" s="18"/>
      <c r="HN107" s="18"/>
      <c r="HO107" s="17"/>
      <c r="HP107" s="17"/>
      <c r="HQ107" s="17"/>
      <c r="HR107" s="17"/>
      <c r="HS107" s="17"/>
      <c r="HT107" s="17"/>
      <c r="HU107" s="17"/>
      <c r="HV107" s="17"/>
      <c r="HW107" s="22"/>
      <c r="HX107" s="17"/>
      <c r="HY107" s="16"/>
      <c r="HZ107" s="18"/>
      <c r="IA107" s="19"/>
      <c r="IB107" s="20"/>
      <c r="IC107" s="21"/>
      <c r="ID107" s="18"/>
      <c r="IE107" s="17"/>
      <c r="IF107" s="18"/>
      <c r="IG107" s="18"/>
      <c r="IH107" s="18"/>
      <c r="II107" s="17"/>
      <c r="IJ107" s="17"/>
      <c r="IK107" s="17"/>
      <c r="IL107" s="17"/>
      <c r="IM107" s="17"/>
    </row>
    <row r="108" spans="1:247" s="26" customFormat="1" ht="45" customHeight="1">
      <c r="A108" s="30">
        <v>105</v>
      </c>
      <c r="B108" s="45" t="s">
        <v>918</v>
      </c>
      <c r="C108" s="45" t="s">
        <v>38</v>
      </c>
      <c r="D108" s="46"/>
      <c r="E108" s="47">
        <v>60377</v>
      </c>
      <c r="F108" s="48">
        <v>4</v>
      </c>
      <c r="G108" s="51" t="s">
        <v>919</v>
      </c>
      <c r="H108" s="30" t="s">
        <v>814</v>
      </c>
      <c r="I108" s="45" t="s">
        <v>92</v>
      </c>
      <c r="J108" s="45" t="s">
        <v>110</v>
      </c>
      <c r="K108" s="63" t="s">
        <v>5984</v>
      </c>
      <c r="L108" s="28"/>
      <c r="M108" s="16"/>
      <c r="N108" s="18"/>
      <c r="O108" s="19"/>
      <c r="P108" s="20"/>
      <c r="Q108" s="21"/>
      <c r="R108" s="18"/>
      <c r="S108" s="17"/>
      <c r="T108" s="18"/>
      <c r="U108" s="18"/>
      <c r="V108" s="18"/>
      <c r="W108" s="17"/>
      <c r="X108" s="17"/>
      <c r="Y108" s="17"/>
      <c r="Z108" s="17"/>
      <c r="AA108" s="17"/>
      <c r="AB108" s="17"/>
      <c r="AC108" s="17"/>
      <c r="AD108" s="17"/>
      <c r="AE108" s="22"/>
      <c r="AF108" s="17"/>
      <c r="AG108" s="16"/>
      <c r="AH108" s="18"/>
      <c r="AI108" s="19"/>
      <c r="AJ108" s="20"/>
      <c r="AK108" s="21"/>
      <c r="AL108" s="18"/>
      <c r="AM108" s="17"/>
      <c r="AN108" s="18"/>
      <c r="AO108" s="18"/>
      <c r="AP108" s="18"/>
      <c r="AQ108" s="17"/>
      <c r="AR108" s="17"/>
      <c r="AS108" s="17"/>
      <c r="AT108" s="17"/>
      <c r="AU108" s="17"/>
      <c r="AV108" s="17"/>
      <c r="AW108" s="17"/>
      <c r="AX108" s="17"/>
      <c r="AY108" s="22"/>
      <c r="AZ108" s="17"/>
      <c r="BA108" s="16"/>
      <c r="BB108" s="18"/>
      <c r="BC108" s="19"/>
      <c r="BD108" s="20"/>
      <c r="BE108" s="21"/>
      <c r="BF108" s="18"/>
      <c r="BG108" s="17"/>
      <c r="BH108" s="18"/>
      <c r="BI108" s="18"/>
      <c r="BJ108" s="18"/>
      <c r="BK108" s="17"/>
      <c r="BL108" s="17"/>
      <c r="BM108" s="17"/>
      <c r="BN108" s="17"/>
      <c r="BO108" s="17"/>
      <c r="BP108" s="17"/>
      <c r="BQ108" s="17"/>
      <c r="BR108" s="17"/>
      <c r="BS108" s="22"/>
      <c r="BT108" s="17"/>
      <c r="BU108" s="16"/>
      <c r="BV108" s="18"/>
      <c r="BW108" s="19"/>
      <c r="BX108" s="20"/>
      <c r="BY108" s="21"/>
      <c r="BZ108" s="18"/>
      <c r="CA108" s="17"/>
      <c r="CB108" s="18"/>
      <c r="CC108" s="18"/>
      <c r="CD108" s="18"/>
      <c r="CE108" s="17"/>
      <c r="CF108" s="17"/>
      <c r="CG108" s="17"/>
      <c r="CH108" s="17"/>
      <c r="CI108" s="17"/>
      <c r="CJ108" s="17"/>
      <c r="CK108" s="17"/>
      <c r="CL108" s="17"/>
      <c r="CM108" s="22"/>
      <c r="CN108" s="17"/>
      <c r="CO108" s="16"/>
      <c r="CP108" s="18"/>
      <c r="CQ108" s="19"/>
      <c r="CR108" s="20"/>
      <c r="CS108" s="21"/>
      <c r="CT108" s="18"/>
      <c r="CU108" s="17"/>
      <c r="CV108" s="18"/>
      <c r="CW108" s="18"/>
      <c r="CX108" s="18"/>
      <c r="CY108" s="17"/>
      <c r="CZ108" s="17"/>
      <c r="DA108" s="17"/>
      <c r="DB108" s="17"/>
      <c r="DC108" s="17"/>
      <c r="DD108" s="17"/>
      <c r="DE108" s="17"/>
      <c r="DF108" s="17"/>
      <c r="DG108" s="22"/>
      <c r="DH108" s="17"/>
      <c r="DI108" s="16"/>
      <c r="DJ108" s="18"/>
      <c r="DK108" s="19"/>
      <c r="DL108" s="20"/>
      <c r="DM108" s="21"/>
      <c r="DN108" s="18"/>
      <c r="DO108" s="17"/>
      <c r="DP108" s="18"/>
      <c r="DQ108" s="18"/>
      <c r="DR108" s="18"/>
      <c r="DS108" s="17"/>
      <c r="DT108" s="17"/>
      <c r="DU108" s="17"/>
      <c r="DV108" s="17"/>
      <c r="DW108" s="17"/>
      <c r="DX108" s="17"/>
      <c r="DY108" s="17"/>
      <c r="DZ108" s="17"/>
      <c r="EA108" s="22"/>
      <c r="EB108" s="17"/>
      <c r="EC108" s="16"/>
      <c r="ED108" s="18"/>
      <c r="EE108" s="19"/>
      <c r="EF108" s="20"/>
      <c r="EG108" s="21"/>
      <c r="EH108" s="18"/>
      <c r="EI108" s="17"/>
      <c r="EJ108" s="18"/>
      <c r="EK108" s="18"/>
      <c r="EL108" s="18"/>
      <c r="EM108" s="17"/>
      <c r="EN108" s="17"/>
      <c r="EO108" s="17"/>
      <c r="EP108" s="17"/>
      <c r="EQ108" s="17"/>
      <c r="ER108" s="17"/>
      <c r="ES108" s="17"/>
      <c r="ET108" s="17"/>
      <c r="EU108" s="22"/>
      <c r="EV108" s="17"/>
      <c r="EW108" s="16"/>
      <c r="EX108" s="18"/>
      <c r="EY108" s="19"/>
      <c r="EZ108" s="20"/>
      <c r="FA108" s="21"/>
      <c r="FB108" s="18"/>
      <c r="FC108" s="17"/>
      <c r="FD108" s="18"/>
      <c r="FE108" s="18"/>
      <c r="FF108" s="18"/>
      <c r="FG108" s="17"/>
      <c r="FH108" s="17"/>
      <c r="FI108" s="17"/>
      <c r="FJ108" s="17"/>
      <c r="FK108" s="17"/>
      <c r="FL108" s="17"/>
      <c r="FM108" s="17"/>
      <c r="FN108" s="17"/>
      <c r="FO108" s="22"/>
      <c r="FP108" s="17"/>
      <c r="FQ108" s="16"/>
      <c r="FR108" s="18"/>
      <c r="FS108" s="19"/>
      <c r="FT108" s="20"/>
      <c r="FU108" s="21"/>
      <c r="FV108" s="18"/>
      <c r="FW108" s="17"/>
      <c r="FX108" s="18"/>
      <c r="FY108" s="18"/>
      <c r="FZ108" s="18"/>
      <c r="GA108" s="17"/>
      <c r="GB108" s="17"/>
      <c r="GC108" s="17"/>
      <c r="GD108" s="17"/>
      <c r="GE108" s="17"/>
      <c r="GF108" s="17"/>
      <c r="GG108" s="17"/>
      <c r="GH108" s="17"/>
      <c r="GI108" s="22"/>
      <c r="GJ108" s="17"/>
      <c r="GK108" s="16"/>
      <c r="GL108" s="18"/>
      <c r="GM108" s="19"/>
      <c r="GN108" s="20"/>
      <c r="GO108" s="21"/>
      <c r="GP108" s="18"/>
      <c r="GQ108" s="17"/>
      <c r="GR108" s="18"/>
      <c r="GS108" s="18"/>
      <c r="GT108" s="18"/>
      <c r="GU108" s="17"/>
      <c r="GV108" s="17"/>
      <c r="GW108" s="17"/>
      <c r="GX108" s="17"/>
      <c r="GY108" s="17"/>
      <c r="GZ108" s="17"/>
      <c r="HA108" s="17"/>
      <c r="HB108" s="17"/>
      <c r="HC108" s="22"/>
      <c r="HD108" s="17"/>
      <c r="HE108" s="16"/>
      <c r="HF108" s="18"/>
      <c r="HG108" s="19"/>
      <c r="HH108" s="20"/>
      <c r="HI108" s="21"/>
      <c r="HJ108" s="18"/>
      <c r="HK108" s="17"/>
      <c r="HL108" s="18"/>
      <c r="HM108" s="18"/>
      <c r="HN108" s="18"/>
      <c r="HO108" s="17"/>
      <c r="HP108" s="17"/>
      <c r="HQ108" s="17"/>
      <c r="HR108" s="17"/>
      <c r="HS108" s="17"/>
      <c r="HT108" s="17"/>
      <c r="HU108" s="17"/>
      <c r="HV108" s="17"/>
      <c r="HW108" s="22"/>
      <c r="HX108" s="17"/>
      <c r="HY108" s="16"/>
      <c r="HZ108" s="18"/>
      <c r="IA108" s="19"/>
      <c r="IB108" s="20"/>
      <c r="IC108" s="21"/>
      <c r="ID108" s="18"/>
      <c r="IE108" s="17"/>
      <c r="IF108" s="18"/>
      <c r="IG108" s="18"/>
      <c r="IH108" s="18"/>
      <c r="II108" s="17"/>
      <c r="IJ108" s="17"/>
      <c r="IK108" s="17"/>
      <c r="IL108" s="17"/>
      <c r="IM108" s="17"/>
    </row>
    <row r="109" spans="1:247" s="26" customFormat="1" ht="45" customHeight="1">
      <c r="A109" s="30">
        <v>105</v>
      </c>
      <c r="B109" s="45" t="s">
        <v>854</v>
      </c>
      <c r="C109" s="45" t="s">
        <v>38</v>
      </c>
      <c r="D109" s="46"/>
      <c r="E109" s="47">
        <v>92437</v>
      </c>
      <c r="F109" s="48">
        <v>4</v>
      </c>
      <c r="G109" s="45" t="s">
        <v>872</v>
      </c>
      <c r="H109" s="30" t="s">
        <v>873</v>
      </c>
      <c r="I109" s="45" t="s">
        <v>104</v>
      </c>
      <c r="J109" s="45" t="s">
        <v>279</v>
      </c>
      <c r="K109" s="61" t="s">
        <v>5983</v>
      </c>
      <c r="L109" s="28"/>
      <c r="M109" s="16"/>
      <c r="N109" s="18"/>
      <c r="O109" s="19"/>
      <c r="P109" s="20"/>
      <c r="Q109" s="21"/>
      <c r="R109" s="18"/>
      <c r="S109" s="17"/>
      <c r="T109" s="18"/>
      <c r="U109" s="18"/>
      <c r="V109" s="18"/>
      <c r="W109" s="17"/>
      <c r="X109" s="17"/>
      <c r="Y109" s="17"/>
      <c r="Z109" s="17"/>
      <c r="AA109" s="17"/>
      <c r="AB109" s="17"/>
      <c r="AC109" s="17"/>
      <c r="AD109" s="17"/>
      <c r="AE109" s="22"/>
      <c r="AF109" s="17"/>
      <c r="AG109" s="16"/>
      <c r="AH109" s="18"/>
      <c r="AI109" s="19"/>
      <c r="AJ109" s="20"/>
      <c r="AK109" s="21"/>
      <c r="AL109" s="18"/>
      <c r="AM109" s="17"/>
      <c r="AN109" s="18"/>
      <c r="AO109" s="18"/>
      <c r="AP109" s="18"/>
      <c r="AQ109" s="17"/>
      <c r="AR109" s="17"/>
      <c r="AS109" s="17"/>
      <c r="AT109" s="17"/>
      <c r="AU109" s="17"/>
      <c r="AV109" s="17"/>
      <c r="AW109" s="17"/>
      <c r="AX109" s="17"/>
      <c r="AY109" s="22"/>
      <c r="AZ109" s="17"/>
      <c r="BA109" s="16"/>
      <c r="BB109" s="18"/>
      <c r="BC109" s="19"/>
      <c r="BD109" s="20"/>
      <c r="BE109" s="21"/>
      <c r="BF109" s="18"/>
      <c r="BG109" s="17"/>
      <c r="BH109" s="18"/>
      <c r="BI109" s="18"/>
      <c r="BJ109" s="18"/>
      <c r="BK109" s="17"/>
      <c r="BL109" s="17"/>
      <c r="BM109" s="17"/>
      <c r="BN109" s="17"/>
      <c r="BO109" s="17"/>
      <c r="BP109" s="17"/>
      <c r="BQ109" s="17"/>
      <c r="BR109" s="17"/>
      <c r="BS109" s="22"/>
      <c r="BT109" s="17"/>
      <c r="BU109" s="16"/>
      <c r="BV109" s="18"/>
      <c r="BW109" s="19"/>
      <c r="BX109" s="20"/>
      <c r="BY109" s="21"/>
      <c r="BZ109" s="18"/>
      <c r="CA109" s="17"/>
      <c r="CB109" s="18"/>
      <c r="CC109" s="18"/>
      <c r="CD109" s="18"/>
      <c r="CE109" s="17"/>
      <c r="CF109" s="17"/>
      <c r="CG109" s="17"/>
      <c r="CH109" s="17"/>
      <c r="CI109" s="17"/>
      <c r="CJ109" s="17"/>
      <c r="CK109" s="17"/>
      <c r="CL109" s="17"/>
      <c r="CM109" s="22"/>
      <c r="CN109" s="17"/>
      <c r="CO109" s="16"/>
      <c r="CP109" s="18"/>
      <c r="CQ109" s="19"/>
      <c r="CR109" s="20"/>
      <c r="CS109" s="21"/>
      <c r="CT109" s="18"/>
      <c r="CU109" s="17"/>
      <c r="CV109" s="18"/>
      <c r="CW109" s="18"/>
      <c r="CX109" s="18"/>
      <c r="CY109" s="17"/>
      <c r="CZ109" s="17"/>
      <c r="DA109" s="17"/>
      <c r="DB109" s="17"/>
      <c r="DC109" s="17"/>
      <c r="DD109" s="17"/>
      <c r="DE109" s="17"/>
      <c r="DF109" s="17"/>
      <c r="DG109" s="22"/>
      <c r="DH109" s="17"/>
      <c r="DI109" s="16"/>
      <c r="DJ109" s="18"/>
      <c r="DK109" s="19"/>
      <c r="DL109" s="20"/>
      <c r="DM109" s="21"/>
      <c r="DN109" s="18"/>
      <c r="DO109" s="17"/>
      <c r="DP109" s="18"/>
      <c r="DQ109" s="18"/>
      <c r="DR109" s="18"/>
      <c r="DS109" s="17"/>
      <c r="DT109" s="17"/>
      <c r="DU109" s="17"/>
      <c r="DV109" s="17"/>
      <c r="DW109" s="17"/>
      <c r="DX109" s="17"/>
      <c r="DY109" s="17"/>
      <c r="DZ109" s="17"/>
      <c r="EA109" s="22"/>
      <c r="EB109" s="17"/>
      <c r="EC109" s="16"/>
      <c r="ED109" s="18"/>
      <c r="EE109" s="19"/>
      <c r="EF109" s="20"/>
      <c r="EG109" s="21"/>
      <c r="EH109" s="18"/>
      <c r="EI109" s="17"/>
      <c r="EJ109" s="18"/>
      <c r="EK109" s="18"/>
      <c r="EL109" s="18"/>
      <c r="EM109" s="17"/>
      <c r="EN109" s="17"/>
      <c r="EO109" s="17"/>
      <c r="EP109" s="17"/>
      <c r="EQ109" s="17"/>
      <c r="ER109" s="17"/>
      <c r="ES109" s="17"/>
      <c r="ET109" s="17"/>
      <c r="EU109" s="22"/>
      <c r="EV109" s="17"/>
      <c r="EW109" s="16"/>
      <c r="EX109" s="18"/>
      <c r="EY109" s="19"/>
      <c r="EZ109" s="20"/>
      <c r="FA109" s="21"/>
      <c r="FB109" s="18"/>
      <c r="FC109" s="17"/>
      <c r="FD109" s="18"/>
      <c r="FE109" s="18"/>
      <c r="FF109" s="18"/>
      <c r="FG109" s="17"/>
      <c r="FH109" s="17"/>
      <c r="FI109" s="17"/>
      <c r="FJ109" s="17"/>
      <c r="FK109" s="17"/>
      <c r="FL109" s="17"/>
      <c r="FM109" s="17"/>
      <c r="FN109" s="17"/>
      <c r="FO109" s="22"/>
      <c r="FP109" s="17"/>
      <c r="FQ109" s="16"/>
      <c r="FR109" s="18"/>
      <c r="FS109" s="19"/>
      <c r="FT109" s="20"/>
      <c r="FU109" s="21"/>
      <c r="FV109" s="18"/>
      <c r="FW109" s="17"/>
      <c r="FX109" s="18"/>
      <c r="FY109" s="18"/>
      <c r="FZ109" s="18"/>
      <c r="GA109" s="17"/>
      <c r="GB109" s="17"/>
      <c r="GC109" s="17"/>
      <c r="GD109" s="17"/>
      <c r="GE109" s="17"/>
      <c r="GF109" s="17"/>
      <c r="GG109" s="17"/>
      <c r="GH109" s="17"/>
      <c r="GI109" s="22"/>
      <c r="GJ109" s="17"/>
      <c r="GK109" s="16"/>
      <c r="GL109" s="18"/>
      <c r="GM109" s="19"/>
      <c r="GN109" s="20"/>
      <c r="GO109" s="21"/>
      <c r="GP109" s="18"/>
      <c r="GQ109" s="17"/>
      <c r="GR109" s="18"/>
      <c r="GS109" s="18"/>
      <c r="GT109" s="18"/>
      <c r="GU109" s="17"/>
      <c r="GV109" s="17"/>
      <c r="GW109" s="17"/>
      <c r="GX109" s="17"/>
      <c r="GY109" s="17"/>
      <c r="GZ109" s="17"/>
      <c r="HA109" s="17"/>
      <c r="HB109" s="17"/>
      <c r="HC109" s="22"/>
      <c r="HD109" s="17"/>
      <c r="HE109" s="16"/>
      <c r="HF109" s="18"/>
      <c r="HG109" s="19"/>
      <c r="HH109" s="20"/>
      <c r="HI109" s="21"/>
      <c r="HJ109" s="18"/>
      <c r="HK109" s="17"/>
      <c r="HL109" s="18"/>
      <c r="HM109" s="18"/>
      <c r="HN109" s="18"/>
      <c r="HO109" s="17"/>
      <c r="HP109" s="17"/>
      <c r="HQ109" s="17"/>
      <c r="HR109" s="17"/>
      <c r="HS109" s="17"/>
      <c r="HT109" s="17"/>
      <c r="HU109" s="17"/>
      <c r="HV109" s="17"/>
      <c r="HW109" s="22"/>
      <c r="HX109" s="17"/>
      <c r="HY109" s="16"/>
      <c r="HZ109" s="18"/>
      <c r="IA109" s="19"/>
      <c r="IB109" s="20"/>
      <c r="IC109" s="21"/>
      <c r="ID109" s="18"/>
      <c r="IE109" s="17"/>
      <c r="IF109" s="18"/>
      <c r="IG109" s="18"/>
      <c r="IH109" s="18"/>
      <c r="II109" s="17"/>
      <c r="IJ109" s="17"/>
      <c r="IK109" s="17"/>
      <c r="IL109" s="17"/>
      <c r="IM109" s="17"/>
    </row>
    <row r="110" spans="1:247" s="26" customFormat="1" ht="45" customHeight="1">
      <c r="A110" s="30">
        <v>105</v>
      </c>
      <c r="B110" s="45" t="s">
        <v>854</v>
      </c>
      <c r="C110" s="45" t="s">
        <v>38</v>
      </c>
      <c r="D110" s="46"/>
      <c r="E110" s="47">
        <v>50000</v>
      </c>
      <c r="F110" s="48">
        <v>4</v>
      </c>
      <c r="G110" s="45" t="s">
        <v>870</v>
      </c>
      <c r="H110" s="30" t="s">
        <v>871</v>
      </c>
      <c r="I110" s="45" t="s">
        <v>100</v>
      </c>
      <c r="J110" s="45" t="s">
        <v>635</v>
      </c>
      <c r="K110" s="61" t="s">
        <v>5981</v>
      </c>
      <c r="L110" s="28"/>
      <c r="M110" s="16"/>
      <c r="N110" s="18"/>
      <c r="O110" s="19"/>
      <c r="P110" s="20"/>
      <c r="Q110" s="21"/>
      <c r="R110" s="18"/>
      <c r="S110" s="17"/>
      <c r="T110" s="18"/>
      <c r="U110" s="18"/>
      <c r="V110" s="18"/>
      <c r="W110" s="17"/>
      <c r="X110" s="17"/>
      <c r="Y110" s="17"/>
      <c r="Z110" s="17"/>
      <c r="AA110" s="17"/>
      <c r="AB110" s="17"/>
      <c r="AC110" s="17"/>
      <c r="AD110" s="17"/>
      <c r="AE110" s="22"/>
      <c r="AF110" s="17"/>
      <c r="AG110" s="16"/>
      <c r="AH110" s="18"/>
      <c r="AI110" s="19"/>
      <c r="AJ110" s="20"/>
      <c r="AK110" s="21"/>
      <c r="AL110" s="18"/>
      <c r="AM110" s="17"/>
      <c r="AN110" s="18"/>
      <c r="AO110" s="18"/>
      <c r="AP110" s="18"/>
      <c r="AQ110" s="17"/>
      <c r="AR110" s="17"/>
      <c r="AS110" s="17"/>
      <c r="AT110" s="17"/>
      <c r="AU110" s="17"/>
      <c r="AV110" s="17"/>
      <c r="AW110" s="17"/>
      <c r="AX110" s="17"/>
      <c r="AY110" s="22"/>
      <c r="AZ110" s="17"/>
      <c r="BA110" s="16"/>
      <c r="BB110" s="18"/>
      <c r="BC110" s="19"/>
      <c r="BD110" s="20"/>
      <c r="BE110" s="21"/>
      <c r="BF110" s="18"/>
      <c r="BG110" s="17"/>
      <c r="BH110" s="18"/>
      <c r="BI110" s="18"/>
      <c r="BJ110" s="18"/>
      <c r="BK110" s="17"/>
      <c r="BL110" s="17"/>
      <c r="BM110" s="17"/>
      <c r="BN110" s="17"/>
      <c r="BO110" s="17"/>
      <c r="BP110" s="17"/>
      <c r="BQ110" s="17"/>
      <c r="BR110" s="17"/>
      <c r="BS110" s="22"/>
      <c r="BT110" s="17"/>
      <c r="BU110" s="16"/>
      <c r="BV110" s="18"/>
      <c r="BW110" s="19"/>
      <c r="BX110" s="20"/>
      <c r="BY110" s="21"/>
      <c r="BZ110" s="18"/>
      <c r="CA110" s="17"/>
      <c r="CB110" s="18"/>
      <c r="CC110" s="18"/>
      <c r="CD110" s="18"/>
      <c r="CE110" s="17"/>
      <c r="CF110" s="17"/>
      <c r="CG110" s="17"/>
      <c r="CH110" s="17"/>
      <c r="CI110" s="17"/>
      <c r="CJ110" s="17"/>
      <c r="CK110" s="17"/>
      <c r="CL110" s="17"/>
      <c r="CM110" s="22"/>
      <c r="CN110" s="17"/>
      <c r="CO110" s="16"/>
      <c r="CP110" s="18"/>
      <c r="CQ110" s="19"/>
      <c r="CR110" s="20"/>
      <c r="CS110" s="21"/>
      <c r="CT110" s="18"/>
      <c r="CU110" s="17"/>
      <c r="CV110" s="18"/>
      <c r="CW110" s="18"/>
      <c r="CX110" s="18"/>
      <c r="CY110" s="17"/>
      <c r="CZ110" s="17"/>
      <c r="DA110" s="17"/>
      <c r="DB110" s="17"/>
      <c r="DC110" s="17"/>
      <c r="DD110" s="17"/>
      <c r="DE110" s="17"/>
      <c r="DF110" s="17"/>
      <c r="DG110" s="22"/>
      <c r="DH110" s="17"/>
      <c r="DI110" s="16"/>
      <c r="DJ110" s="18"/>
      <c r="DK110" s="19"/>
      <c r="DL110" s="20"/>
      <c r="DM110" s="21"/>
      <c r="DN110" s="18"/>
      <c r="DO110" s="17"/>
      <c r="DP110" s="18"/>
      <c r="DQ110" s="18"/>
      <c r="DR110" s="18"/>
      <c r="DS110" s="17"/>
      <c r="DT110" s="17"/>
      <c r="DU110" s="17"/>
      <c r="DV110" s="17"/>
      <c r="DW110" s="17"/>
      <c r="DX110" s="17"/>
      <c r="DY110" s="17"/>
      <c r="DZ110" s="17"/>
      <c r="EA110" s="22"/>
      <c r="EB110" s="17"/>
      <c r="EC110" s="16"/>
      <c r="ED110" s="18"/>
      <c r="EE110" s="19"/>
      <c r="EF110" s="20"/>
      <c r="EG110" s="21"/>
      <c r="EH110" s="18"/>
      <c r="EI110" s="17"/>
      <c r="EJ110" s="18"/>
      <c r="EK110" s="18"/>
      <c r="EL110" s="18"/>
      <c r="EM110" s="17"/>
      <c r="EN110" s="17"/>
      <c r="EO110" s="17"/>
      <c r="EP110" s="17"/>
      <c r="EQ110" s="17"/>
      <c r="ER110" s="17"/>
      <c r="ES110" s="17"/>
      <c r="ET110" s="17"/>
      <c r="EU110" s="22"/>
      <c r="EV110" s="17"/>
      <c r="EW110" s="16"/>
      <c r="EX110" s="18"/>
      <c r="EY110" s="19"/>
      <c r="EZ110" s="20"/>
      <c r="FA110" s="21"/>
      <c r="FB110" s="18"/>
      <c r="FC110" s="17"/>
      <c r="FD110" s="18"/>
      <c r="FE110" s="18"/>
      <c r="FF110" s="18"/>
      <c r="FG110" s="17"/>
      <c r="FH110" s="17"/>
      <c r="FI110" s="17"/>
      <c r="FJ110" s="17"/>
      <c r="FK110" s="17"/>
      <c r="FL110" s="17"/>
      <c r="FM110" s="17"/>
      <c r="FN110" s="17"/>
      <c r="FO110" s="22"/>
      <c r="FP110" s="17"/>
      <c r="FQ110" s="16"/>
      <c r="FR110" s="18"/>
      <c r="FS110" s="19"/>
      <c r="FT110" s="20"/>
      <c r="FU110" s="21"/>
      <c r="FV110" s="18"/>
      <c r="FW110" s="17"/>
      <c r="FX110" s="18"/>
      <c r="FY110" s="18"/>
      <c r="FZ110" s="18"/>
      <c r="GA110" s="17"/>
      <c r="GB110" s="17"/>
      <c r="GC110" s="17"/>
      <c r="GD110" s="17"/>
      <c r="GE110" s="17"/>
      <c r="GF110" s="17"/>
      <c r="GG110" s="17"/>
      <c r="GH110" s="17"/>
      <c r="GI110" s="22"/>
      <c r="GJ110" s="17"/>
      <c r="GK110" s="16"/>
      <c r="GL110" s="18"/>
      <c r="GM110" s="19"/>
      <c r="GN110" s="20"/>
      <c r="GO110" s="21"/>
      <c r="GP110" s="18"/>
      <c r="GQ110" s="17"/>
      <c r="GR110" s="18"/>
      <c r="GS110" s="18"/>
      <c r="GT110" s="18"/>
      <c r="GU110" s="17"/>
      <c r="GV110" s="17"/>
      <c r="GW110" s="17"/>
      <c r="GX110" s="17"/>
      <c r="GY110" s="17"/>
      <c r="GZ110" s="17"/>
      <c r="HA110" s="17"/>
      <c r="HB110" s="17"/>
      <c r="HC110" s="22"/>
      <c r="HD110" s="17"/>
      <c r="HE110" s="16"/>
      <c r="HF110" s="18"/>
      <c r="HG110" s="19"/>
      <c r="HH110" s="20"/>
      <c r="HI110" s="21"/>
      <c r="HJ110" s="18"/>
      <c r="HK110" s="17"/>
      <c r="HL110" s="18"/>
      <c r="HM110" s="18"/>
      <c r="HN110" s="18"/>
      <c r="HO110" s="17"/>
      <c r="HP110" s="17"/>
      <c r="HQ110" s="17"/>
      <c r="HR110" s="17"/>
      <c r="HS110" s="17"/>
      <c r="HT110" s="17"/>
      <c r="HU110" s="17"/>
      <c r="HV110" s="17"/>
      <c r="HW110" s="22"/>
      <c r="HX110" s="17"/>
      <c r="HY110" s="16"/>
      <c r="HZ110" s="18"/>
      <c r="IA110" s="19"/>
      <c r="IB110" s="20"/>
      <c r="IC110" s="21"/>
      <c r="ID110" s="18"/>
      <c r="IE110" s="17"/>
      <c r="IF110" s="18"/>
      <c r="IG110" s="18"/>
      <c r="IH110" s="18"/>
      <c r="II110" s="17"/>
      <c r="IJ110" s="17"/>
      <c r="IK110" s="17"/>
      <c r="IL110" s="17"/>
      <c r="IM110" s="17"/>
    </row>
    <row r="111" spans="1:247" s="26" customFormat="1" ht="45" customHeight="1">
      <c r="A111" s="30">
        <v>105</v>
      </c>
      <c r="B111" s="49" t="s">
        <v>224</v>
      </c>
      <c r="C111" s="45" t="s">
        <v>38</v>
      </c>
      <c r="D111" s="46"/>
      <c r="E111" s="47">
        <v>114005</v>
      </c>
      <c r="F111" s="48">
        <v>4</v>
      </c>
      <c r="G111" s="45" t="s">
        <v>874</v>
      </c>
      <c r="H111" s="30" t="s">
        <v>875</v>
      </c>
      <c r="I111" s="45" t="s">
        <v>107</v>
      </c>
      <c r="J111" s="45" t="s">
        <v>122</v>
      </c>
      <c r="K111" s="61" t="s">
        <v>5982</v>
      </c>
      <c r="L111" s="28"/>
      <c r="M111" s="16"/>
      <c r="N111" s="18"/>
      <c r="O111" s="19"/>
      <c r="P111" s="20"/>
      <c r="Q111" s="21"/>
      <c r="R111" s="18"/>
      <c r="S111" s="17"/>
      <c r="T111" s="18"/>
      <c r="U111" s="18"/>
      <c r="V111" s="18"/>
      <c r="W111" s="17"/>
      <c r="X111" s="17"/>
      <c r="Y111" s="17"/>
      <c r="Z111" s="17"/>
      <c r="AA111" s="17"/>
      <c r="AB111" s="17"/>
      <c r="AC111" s="17"/>
      <c r="AD111" s="17"/>
      <c r="AE111" s="22"/>
      <c r="AF111" s="17"/>
      <c r="AG111" s="16"/>
      <c r="AH111" s="18"/>
      <c r="AI111" s="19"/>
      <c r="AJ111" s="20"/>
      <c r="AK111" s="21"/>
      <c r="AL111" s="18"/>
      <c r="AM111" s="17"/>
      <c r="AN111" s="18"/>
      <c r="AO111" s="18"/>
      <c r="AP111" s="18"/>
      <c r="AQ111" s="17"/>
      <c r="AR111" s="17"/>
      <c r="AS111" s="17"/>
      <c r="AT111" s="17"/>
      <c r="AU111" s="17"/>
      <c r="AV111" s="17"/>
      <c r="AW111" s="17"/>
      <c r="AX111" s="17"/>
      <c r="AY111" s="22"/>
      <c r="AZ111" s="17"/>
      <c r="BA111" s="16"/>
      <c r="BB111" s="18"/>
      <c r="BC111" s="19"/>
      <c r="BD111" s="20"/>
      <c r="BE111" s="21"/>
      <c r="BF111" s="18"/>
      <c r="BG111" s="17"/>
      <c r="BH111" s="18"/>
      <c r="BI111" s="18"/>
      <c r="BJ111" s="18"/>
      <c r="BK111" s="17"/>
      <c r="BL111" s="17"/>
      <c r="BM111" s="17"/>
      <c r="BN111" s="17"/>
      <c r="BO111" s="17"/>
      <c r="BP111" s="17"/>
      <c r="BQ111" s="17"/>
      <c r="BR111" s="17"/>
      <c r="BS111" s="22"/>
      <c r="BT111" s="17"/>
      <c r="BU111" s="16"/>
      <c r="BV111" s="18"/>
      <c r="BW111" s="19"/>
      <c r="BX111" s="20"/>
      <c r="BY111" s="21"/>
      <c r="BZ111" s="18"/>
      <c r="CA111" s="17"/>
      <c r="CB111" s="18"/>
      <c r="CC111" s="18"/>
      <c r="CD111" s="18"/>
      <c r="CE111" s="17"/>
      <c r="CF111" s="17"/>
      <c r="CG111" s="17"/>
      <c r="CH111" s="17"/>
      <c r="CI111" s="17"/>
      <c r="CJ111" s="17"/>
      <c r="CK111" s="17"/>
      <c r="CL111" s="17"/>
      <c r="CM111" s="22"/>
      <c r="CN111" s="17"/>
      <c r="CO111" s="16"/>
      <c r="CP111" s="18"/>
      <c r="CQ111" s="19"/>
      <c r="CR111" s="20"/>
      <c r="CS111" s="21"/>
      <c r="CT111" s="18"/>
      <c r="CU111" s="17"/>
      <c r="CV111" s="18"/>
      <c r="CW111" s="18"/>
      <c r="CX111" s="18"/>
      <c r="CY111" s="17"/>
      <c r="CZ111" s="17"/>
      <c r="DA111" s="17"/>
      <c r="DB111" s="17"/>
      <c r="DC111" s="17"/>
      <c r="DD111" s="17"/>
      <c r="DE111" s="17"/>
      <c r="DF111" s="17"/>
      <c r="DG111" s="22"/>
      <c r="DH111" s="17"/>
      <c r="DI111" s="16"/>
      <c r="DJ111" s="18"/>
      <c r="DK111" s="19"/>
      <c r="DL111" s="20"/>
      <c r="DM111" s="21"/>
      <c r="DN111" s="18"/>
      <c r="DO111" s="17"/>
      <c r="DP111" s="18"/>
      <c r="DQ111" s="18"/>
      <c r="DR111" s="18"/>
      <c r="DS111" s="17"/>
      <c r="DT111" s="17"/>
      <c r="DU111" s="17"/>
      <c r="DV111" s="17"/>
      <c r="DW111" s="17"/>
      <c r="DX111" s="17"/>
      <c r="DY111" s="17"/>
      <c r="DZ111" s="17"/>
      <c r="EA111" s="22"/>
      <c r="EB111" s="17"/>
      <c r="EC111" s="16"/>
      <c r="ED111" s="18"/>
      <c r="EE111" s="19"/>
      <c r="EF111" s="20"/>
      <c r="EG111" s="21"/>
      <c r="EH111" s="18"/>
      <c r="EI111" s="17"/>
      <c r="EJ111" s="18"/>
      <c r="EK111" s="18"/>
      <c r="EL111" s="18"/>
      <c r="EM111" s="17"/>
      <c r="EN111" s="17"/>
      <c r="EO111" s="17"/>
      <c r="EP111" s="17"/>
      <c r="EQ111" s="17"/>
      <c r="ER111" s="17"/>
      <c r="ES111" s="17"/>
      <c r="ET111" s="17"/>
      <c r="EU111" s="22"/>
      <c r="EV111" s="17"/>
      <c r="EW111" s="16"/>
      <c r="EX111" s="18"/>
      <c r="EY111" s="19"/>
      <c r="EZ111" s="20"/>
      <c r="FA111" s="21"/>
      <c r="FB111" s="18"/>
      <c r="FC111" s="17"/>
      <c r="FD111" s="18"/>
      <c r="FE111" s="18"/>
      <c r="FF111" s="18"/>
      <c r="FG111" s="17"/>
      <c r="FH111" s="17"/>
      <c r="FI111" s="17"/>
      <c r="FJ111" s="17"/>
      <c r="FK111" s="17"/>
      <c r="FL111" s="17"/>
      <c r="FM111" s="17"/>
      <c r="FN111" s="17"/>
      <c r="FO111" s="22"/>
      <c r="FP111" s="17"/>
      <c r="FQ111" s="16"/>
      <c r="FR111" s="18"/>
      <c r="FS111" s="19"/>
      <c r="FT111" s="20"/>
      <c r="FU111" s="21"/>
      <c r="FV111" s="18"/>
      <c r="FW111" s="17"/>
      <c r="FX111" s="18"/>
      <c r="FY111" s="18"/>
      <c r="FZ111" s="18"/>
      <c r="GA111" s="17"/>
      <c r="GB111" s="17"/>
      <c r="GC111" s="17"/>
      <c r="GD111" s="17"/>
      <c r="GE111" s="17"/>
      <c r="GF111" s="17"/>
      <c r="GG111" s="17"/>
      <c r="GH111" s="17"/>
      <c r="GI111" s="22"/>
      <c r="GJ111" s="17"/>
      <c r="GK111" s="16"/>
      <c r="GL111" s="18"/>
      <c r="GM111" s="19"/>
      <c r="GN111" s="20"/>
      <c r="GO111" s="21"/>
      <c r="GP111" s="18"/>
      <c r="GQ111" s="17"/>
      <c r="GR111" s="18"/>
      <c r="GS111" s="18"/>
      <c r="GT111" s="18"/>
      <c r="GU111" s="17"/>
      <c r="GV111" s="17"/>
      <c r="GW111" s="17"/>
      <c r="GX111" s="17"/>
      <c r="GY111" s="17"/>
      <c r="GZ111" s="17"/>
      <c r="HA111" s="17"/>
      <c r="HB111" s="17"/>
      <c r="HC111" s="22"/>
      <c r="HD111" s="17"/>
      <c r="HE111" s="16"/>
      <c r="HF111" s="18"/>
      <c r="HG111" s="19"/>
      <c r="HH111" s="20"/>
      <c r="HI111" s="21"/>
      <c r="HJ111" s="18"/>
      <c r="HK111" s="17"/>
      <c r="HL111" s="18"/>
      <c r="HM111" s="18"/>
      <c r="HN111" s="18"/>
      <c r="HO111" s="17"/>
      <c r="HP111" s="17"/>
      <c r="HQ111" s="17"/>
      <c r="HR111" s="17"/>
      <c r="HS111" s="17"/>
      <c r="HT111" s="17"/>
      <c r="HU111" s="17"/>
      <c r="HV111" s="17"/>
      <c r="HW111" s="22"/>
      <c r="HX111" s="17"/>
      <c r="HY111" s="16"/>
      <c r="HZ111" s="18"/>
      <c r="IA111" s="19"/>
      <c r="IB111" s="20"/>
      <c r="IC111" s="21"/>
      <c r="ID111" s="18"/>
      <c r="IE111" s="17"/>
      <c r="IF111" s="18"/>
      <c r="IG111" s="18"/>
      <c r="IH111" s="18"/>
      <c r="II111" s="17"/>
      <c r="IJ111" s="17"/>
      <c r="IK111" s="17"/>
      <c r="IL111" s="17"/>
      <c r="IM111" s="17"/>
    </row>
    <row r="112" spans="1:247" s="26" customFormat="1" ht="45" customHeight="1">
      <c r="A112" s="30">
        <v>105</v>
      </c>
      <c r="B112" s="45" t="s">
        <v>227</v>
      </c>
      <c r="C112" s="45" t="s">
        <v>38</v>
      </c>
      <c r="D112" s="46"/>
      <c r="E112" s="47">
        <v>124510</v>
      </c>
      <c r="F112" s="48">
        <v>4</v>
      </c>
      <c r="G112" s="53" t="s">
        <v>5567</v>
      </c>
      <c r="H112" s="30" t="s">
        <v>876</v>
      </c>
      <c r="I112" s="45" t="s">
        <v>107</v>
      </c>
      <c r="J112" s="49" t="s">
        <v>877</v>
      </c>
      <c r="K112" s="50" t="str">
        <f>"00030198"</f>
        <v>00030198</v>
      </c>
      <c r="L112" s="28"/>
      <c r="M112" s="16"/>
      <c r="N112" s="18"/>
      <c r="O112" s="19"/>
      <c r="P112" s="20"/>
      <c r="Q112" s="21"/>
      <c r="R112" s="18"/>
      <c r="S112" s="17"/>
      <c r="T112" s="18"/>
      <c r="U112" s="18"/>
      <c r="V112" s="18"/>
      <c r="W112" s="17"/>
      <c r="X112" s="17"/>
      <c r="Y112" s="17"/>
      <c r="Z112" s="17"/>
      <c r="AA112" s="17"/>
      <c r="AB112" s="17"/>
      <c r="AC112" s="17"/>
      <c r="AD112" s="17"/>
      <c r="AE112" s="22"/>
      <c r="AF112" s="17"/>
      <c r="AG112" s="16"/>
      <c r="AH112" s="18"/>
      <c r="AI112" s="19"/>
      <c r="AJ112" s="20"/>
      <c r="AK112" s="21"/>
      <c r="AL112" s="18"/>
      <c r="AM112" s="17"/>
      <c r="AN112" s="18"/>
      <c r="AO112" s="18"/>
      <c r="AP112" s="18"/>
      <c r="AQ112" s="17"/>
      <c r="AR112" s="17"/>
      <c r="AS112" s="17"/>
      <c r="AT112" s="17"/>
      <c r="AU112" s="17"/>
      <c r="AV112" s="17"/>
      <c r="AW112" s="17"/>
      <c r="AX112" s="17"/>
      <c r="AY112" s="22"/>
      <c r="AZ112" s="17"/>
      <c r="BA112" s="16"/>
      <c r="BB112" s="18"/>
      <c r="BC112" s="19"/>
      <c r="BD112" s="20"/>
      <c r="BE112" s="21"/>
      <c r="BF112" s="18"/>
      <c r="BG112" s="17"/>
      <c r="BH112" s="18"/>
      <c r="BI112" s="18"/>
      <c r="BJ112" s="18"/>
      <c r="BK112" s="17"/>
      <c r="BL112" s="17"/>
      <c r="BM112" s="17"/>
      <c r="BN112" s="17"/>
      <c r="BO112" s="17"/>
      <c r="BP112" s="17"/>
      <c r="BQ112" s="17"/>
      <c r="BR112" s="17"/>
      <c r="BS112" s="22"/>
      <c r="BT112" s="17"/>
      <c r="BU112" s="16"/>
      <c r="BV112" s="18"/>
      <c r="BW112" s="19"/>
      <c r="BX112" s="20"/>
      <c r="BY112" s="21"/>
      <c r="BZ112" s="18"/>
      <c r="CA112" s="17"/>
      <c r="CB112" s="18"/>
      <c r="CC112" s="18"/>
      <c r="CD112" s="18"/>
      <c r="CE112" s="17"/>
      <c r="CF112" s="17"/>
      <c r="CG112" s="17"/>
      <c r="CH112" s="17"/>
      <c r="CI112" s="17"/>
      <c r="CJ112" s="17"/>
      <c r="CK112" s="17"/>
      <c r="CL112" s="17"/>
      <c r="CM112" s="22"/>
      <c r="CN112" s="17"/>
      <c r="CO112" s="16"/>
      <c r="CP112" s="18"/>
      <c r="CQ112" s="19"/>
      <c r="CR112" s="20"/>
      <c r="CS112" s="21"/>
      <c r="CT112" s="18"/>
      <c r="CU112" s="17"/>
      <c r="CV112" s="18"/>
      <c r="CW112" s="18"/>
      <c r="CX112" s="18"/>
      <c r="CY112" s="17"/>
      <c r="CZ112" s="17"/>
      <c r="DA112" s="17"/>
      <c r="DB112" s="17"/>
      <c r="DC112" s="17"/>
      <c r="DD112" s="17"/>
      <c r="DE112" s="17"/>
      <c r="DF112" s="17"/>
      <c r="DG112" s="22"/>
      <c r="DH112" s="17"/>
      <c r="DI112" s="16"/>
      <c r="DJ112" s="18"/>
      <c r="DK112" s="19"/>
      <c r="DL112" s="20"/>
      <c r="DM112" s="21"/>
      <c r="DN112" s="18"/>
      <c r="DO112" s="17"/>
      <c r="DP112" s="18"/>
      <c r="DQ112" s="18"/>
      <c r="DR112" s="18"/>
      <c r="DS112" s="17"/>
      <c r="DT112" s="17"/>
      <c r="DU112" s="17"/>
      <c r="DV112" s="17"/>
      <c r="DW112" s="17"/>
      <c r="DX112" s="17"/>
      <c r="DY112" s="17"/>
      <c r="DZ112" s="17"/>
      <c r="EA112" s="22"/>
      <c r="EB112" s="17"/>
      <c r="EC112" s="16"/>
      <c r="ED112" s="18"/>
      <c r="EE112" s="19"/>
      <c r="EF112" s="20"/>
      <c r="EG112" s="21"/>
      <c r="EH112" s="18"/>
      <c r="EI112" s="17"/>
      <c r="EJ112" s="18"/>
      <c r="EK112" s="18"/>
      <c r="EL112" s="18"/>
      <c r="EM112" s="17"/>
      <c r="EN112" s="17"/>
      <c r="EO112" s="17"/>
      <c r="EP112" s="17"/>
      <c r="EQ112" s="17"/>
      <c r="ER112" s="17"/>
      <c r="ES112" s="17"/>
      <c r="ET112" s="17"/>
      <c r="EU112" s="22"/>
      <c r="EV112" s="17"/>
      <c r="EW112" s="16"/>
      <c r="EX112" s="18"/>
      <c r="EY112" s="19"/>
      <c r="EZ112" s="20"/>
      <c r="FA112" s="21"/>
      <c r="FB112" s="18"/>
      <c r="FC112" s="17"/>
      <c r="FD112" s="18"/>
      <c r="FE112" s="18"/>
      <c r="FF112" s="18"/>
      <c r="FG112" s="17"/>
      <c r="FH112" s="17"/>
      <c r="FI112" s="17"/>
      <c r="FJ112" s="17"/>
      <c r="FK112" s="17"/>
      <c r="FL112" s="17"/>
      <c r="FM112" s="17"/>
      <c r="FN112" s="17"/>
      <c r="FO112" s="22"/>
      <c r="FP112" s="17"/>
      <c r="FQ112" s="16"/>
      <c r="FR112" s="18"/>
      <c r="FS112" s="19"/>
      <c r="FT112" s="20"/>
      <c r="FU112" s="21"/>
      <c r="FV112" s="18"/>
      <c r="FW112" s="17"/>
      <c r="FX112" s="18"/>
      <c r="FY112" s="18"/>
      <c r="FZ112" s="18"/>
      <c r="GA112" s="17"/>
      <c r="GB112" s="17"/>
      <c r="GC112" s="17"/>
      <c r="GD112" s="17"/>
      <c r="GE112" s="17"/>
      <c r="GF112" s="17"/>
      <c r="GG112" s="17"/>
      <c r="GH112" s="17"/>
      <c r="GI112" s="22"/>
      <c r="GJ112" s="17"/>
      <c r="GK112" s="16"/>
      <c r="GL112" s="18"/>
      <c r="GM112" s="19"/>
      <c r="GN112" s="20"/>
      <c r="GO112" s="21"/>
      <c r="GP112" s="18"/>
      <c r="GQ112" s="17"/>
      <c r="GR112" s="18"/>
      <c r="GS112" s="18"/>
      <c r="GT112" s="18"/>
      <c r="GU112" s="17"/>
      <c r="GV112" s="17"/>
      <c r="GW112" s="17"/>
      <c r="GX112" s="17"/>
      <c r="GY112" s="17"/>
      <c r="GZ112" s="17"/>
      <c r="HA112" s="17"/>
      <c r="HB112" s="17"/>
      <c r="HC112" s="22"/>
      <c r="HD112" s="17"/>
      <c r="HE112" s="16"/>
      <c r="HF112" s="18"/>
      <c r="HG112" s="19"/>
      <c r="HH112" s="20"/>
      <c r="HI112" s="21"/>
      <c r="HJ112" s="18"/>
      <c r="HK112" s="17"/>
      <c r="HL112" s="18"/>
      <c r="HM112" s="18"/>
      <c r="HN112" s="18"/>
      <c r="HO112" s="17"/>
      <c r="HP112" s="17"/>
      <c r="HQ112" s="17"/>
      <c r="HR112" s="17"/>
      <c r="HS112" s="17"/>
      <c r="HT112" s="17"/>
      <c r="HU112" s="17"/>
      <c r="HV112" s="17"/>
      <c r="HW112" s="22"/>
      <c r="HX112" s="17"/>
      <c r="HY112" s="16"/>
      <c r="HZ112" s="18"/>
      <c r="IA112" s="19"/>
      <c r="IB112" s="20"/>
      <c r="IC112" s="21"/>
      <c r="ID112" s="18"/>
      <c r="IE112" s="17"/>
      <c r="IF112" s="18"/>
      <c r="IG112" s="18"/>
      <c r="IH112" s="18"/>
      <c r="II112" s="17"/>
      <c r="IJ112" s="17"/>
      <c r="IK112" s="17"/>
      <c r="IL112" s="17"/>
      <c r="IM112" s="17"/>
    </row>
    <row r="113" spans="1:247" s="26" customFormat="1" ht="45" customHeight="1">
      <c r="A113" s="30">
        <v>105</v>
      </c>
      <c r="B113" s="45" t="s">
        <v>237</v>
      </c>
      <c r="C113" s="45" t="s">
        <v>38</v>
      </c>
      <c r="D113" s="46"/>
      <c r="E113" s="47">
        <v>21363</v>
      </c>
      <c r="F113" s="48">
        <v>4</v>
      </c>
      <c r="G113" s="45" t="s">
        <v>852</v>
      </c>
      <c r="H113" s="30" t="s">
        <v>853</v>
      </c>
      <c r="I113" s="45" t="s">
        <v>120</v>
      </c>
      <c r="J113" s="45" t="s">
        <v>120</v>
      </c>
      <c r="K113" s="50" t="str">
        <f>"00031797"</f>
        <v>00031797</v>
      </c>
      <c r="L113" s="28"/>
      <c r="M113" s="16"/>
      <c r="N113" s="18"/>
      <c r="O113" s="19"/>
      <c r="P113" s="20"/>
      <c r="Q113" s="21"/>
      <c r="R113" s="18"/>
      <c r="S113" s="17"/>
      <c r="T113" s="18"/>
      <c r="U113" s="18"/>
      <c r="V113" s="18"/>
      <c r="W113" s="17"/>
      <c r="X113" s="17"/>
      <c r="Y113" s="17"/>
      <c r="Z113" s="17"/>
      <c r="AA113" s="17"/>
      <c r="AB113" s="17"/>
      <c r="AC113" s="17"/>
      <c r="AD113" s="17"/>
      <c r="AE113" s="22"/>
      <c r="AF113" s="17"/>
      <c r="AG113" s="16"/>
      <c r="AH113" s="18"/>
      <c r="AI113" s="19"/>
      <c r="AJ113" s="20"/>
      <c r="AK113" s="21"/>
      <c r="AL113" s="18"/>
      <c r="AM113" s="17"/>
      <c r="AN113" s="18"/>
      <c r="AO113" s="18"/>
      <c r="AP113" s="18"/>
      <c r="AQ113" s="17"/>
      <c r="AR113" s="17"/>
      <c r="AS113" s="17"/>
      <c r="AT113" s="17"/>
      <c r="AU113" s="17"/>
      <c r="AV113" s="17"/>
      <c r="AW113" s="17"/>
      <c r="AX113" s="17"/>
      <c r="AY113" s="22"/>
      <c r="AZ113" s="17"/>
      <c r="BA113" s="16"/>
      <c r="BB113" s="18"/>
      <c r="BC113" s="19"/>
      <c r="BD113" s="20"/>
      <c r="BE113" s="21"/>
      <c r="BF113" s="18"/>
      <c r="BG113" s="17"/>
      <c r="BH113" s="18"/>
      <c r="BI113" s="18"/>
      <c r="BJ113" s="18"/>
      <c r="BK113" s="17"/>
      <c r="BL113" s="17"/>
      <c r="BM113" s="17"/>
      <c r="BN113" s="17"/>
      <c r="BO113" s="17"/>
      <c r="BP113" s="17"/>
      <c r="BQ113" s="17"/>
      <c r="BR113" s="17"/>
      <c r="BS113" s="22"/>
      <c r="BT113" s="17"/>
      <c r="BU113" s="16"/>
      <c r="BV113" s="18"/>
      <c r="BW113" s="19"/>
      <c r="BX113" s="20"/>
      <c r="BY113" s="21"/>
      <c r="BZ113" s="18"/>
      <c r="CA113" s="17"/>
      <c r="CB113" s="18"/>
      <c r="CC113" s="18"/>
      <c r="CD113" s="18"/>
      <c r="CE113" s="17"/>
      <c r="CF113" s="17"/>
      <c r="CG113" s="17"/>
      <c r="CH113" s="17"/>
      <c r="CI113" s="17"/>
      <c r="CJ113" s="17"/>
      <c r="CK113" s="17"/>
      <c r="CL113" s="17"/>
      <c r="CM113" s="22"/>
      <c r="CN113" s="17"/>
      <c r="CO113" s="16"/>
      <c r="CP113" s="18"/>
      <c r="CQ113" s="19"/>
      <c r="CR113" s="20"/>
      <c r="CS113" s="21"/>
      <c r="CT113" s="18"/>
      <c r="CU113" s="17"/>
      <c r="CV113" s="18"/>
      <c r="CW113" s="18"/>
      <c r="CX113" s="18"/>
      <c r="CY113" s="17"/>
      <c r="CZ113" s="17"/>
      <c r="DA113" s="17"/>
      <c r="DB113" s="17"/>
      <c r="DC113" s="17"/>
      <c r="DD113" s="17"/>
      <c r="DE113" s="17"/>
      <c r="DF113" s="17"/>
      <c r="DG113" s="22"/>
      <c r="DH113" s="17"/>
      <c r="DI113" s="16"/>
      <c r="DJ113" s="18"/>
      <c r="DK113" s="19"/>
      <c r="DL113" s="20"/>
      <c r="DM113" s="21"/>
      <c r="DN113" s="18"/>
      <c r="DO113" s="17"/>
      <c r="DP113" s="18"/>
      <c r="DQ113" s="18"/>
      <c r="DR113" s="18"/>
      <c r="DS113" s="17"/>
      <c r="DT113" s="17"/>
      <c r="DU113" s="17"/>
      <c r="DV113" s="17"/>
      <c r="DW113" s="17"/>
      <c r="DX113" s="17"/>
      <c r="DY113" s="17"/>
      <c r="DZ113" s="17"/>
      <c r="EA113" s="22"/>
      <c r="EB113" s="17"/>
      <c r="EC113" s="16"/>
      <c r="ED113" s="18"/>
      <c r="EE113" s="19"/>
      <c r="EF113" s="20"/>
      <c r="EG113" s="21"/>
      <c r="EH113" s="18"/>
      <c r="EI113" s="17"/>
      <c r="EJ113" s="18"/>
      <c r="EK113" s="18"/>
      <c r="EL113" s="18"/>
      <c r="EM113" s="17"/>
      <c r="EN113" s="17"/>
      <c r="EO113" s="17"/>
      <c r="EP113" s="17"/>
      <c r="EQ113" s="17"/>
      <c r="ER113" s="17"/>
      <c r="ES113" s="17"/>
      <c r="ET113" s="17"/>
      <c r="EU113" s="22"/>
      <c r="EV113" s="17"/>
      <c r="EW113" s="16"/>
      <c r="EX113" s="18"/>
      <c r="EY113" s="19"/>
      <c r="EZ113" s="20"/>
      <c r="FA113" s="21"/>
      <c r="FB113" s="18"/>
      <c r="FC113" s="17"/>
      <c r="FD113" s="18"/>
      <c r="FE113" s="18"/>
      <c r="FF113" s="18"/>
      <c r="FG113" s="17"/>
      <c r="FH113" s="17"/>
      <c r="FI113" s="17"/>
      <c r="FJ113" s="17"/>
      <c r="FK113" s="17"/>
      <c r="FL113" s="17"/>
      <c r="FM113" s="17"/>
      <c r="FN113" s="17"/>
      <c r="FO113" s="22"/>
      <c r="FP113" s="17"/>
      <c r="FQ113" s="16"/>
      <c r="FR113" s="18"/>
      <c r="FS113" s="19"/>
      <c r="FT113" s="20"/>
      <c r="FU113" s="21"/>
      <c r="FV113" s="18"/>
      <c r="FW113" s="17"/>
      <c r="FX113" s="18"/>
      <c r="FY113" s="18"/>
      <c r="FZ113" s="18"/>
      <c r="GA113" s="17"/>
      <c r="GB113" s="17"/>
      <c r="GC113" s="17"/>
      <c r="GD113" s="17"/>
      <c r="GE113" s="17"/>
      <c r="GF113" s="17"/>
      <c r="GG113" s="17"/>
      <c r="GH113" s="17"/>
      <c r="GI113" s="22"/>
      <c r="GJ113" s="17"/>
      <c r="GK113" s="16"/>
      <c r="GL113" s="18"/>
      <c r="GM113" s="19"/>
      <c r="GN113" s="20"/>
      <c r="GO113" s="21"/>
      <c r="GP113" s="18"/>
      <c r="GQ113" s="17"/>
      <c r="GR113" s="18"/>
      <c r="GS113" s="18"/>
      <c r="GT113" s="18"/>
      <c r="GU113" s="17"/>
      <c r="GV113" s="17"/>
      <c r="GW113" s="17"/>
      <c r="GX113" s="17"/>
      <c r="GY113" s="17"/>
      <c r="GZ113" s="17"/>
      <c r="HA113" s="17"/>
      <c r="HB113" s="17"/>
      <c r="HC113" s="22"/>
      <c r="HD113" s="17"/>
      <c r="HE113" s="16"/>
      <c r="HF113" s="18"/>
      <c r="HG113" s="19"/>
      <c r="HH113" s="20"/>
      <c r="HI113" s="21"/>
      <c r="HJ113" s="18"/>
      <c r="HK113" s="17"/>
      <c r="HL113" s="18"/>
      <c r="HM113" s="18"/>
      <c r="HN113" s="18"/>
      <c r="HO113" s="17"/>
      <c r="HP113" s="17"/>
      <c r="HQ113" s="17"/>
      <c r="HR113" s="17"/>
      <c r="HS113" s="17"/>
      <c r="HT113" s="17"/>
      <c r="HU113" s="17"/>
      <c r="HV113" s="17"/>
      <c r="HW113" s="22"/>
      <c r="HX113" s="17"/>
      <c r="HY113" s="16"/>
      <c r="HZ113" s="18"/>
      <c r="IA113" s="19"/>
      <c r="IB113" s="20"/>
      <c r="IC113" s="21"/>
      <c r="ID113" s="18"/>
      <c r="IE113" s="17"/>
      <c r="IF113" s="18"/>
      <c r="IG113" s="18"/>
      <c r="IH113" s="18"/>
      <c r="II113" s="17"/>
      <c r="IJ113" s="17"/>
      <c r="IK113" s="17"/>
      <c r="IL113" s="17"/>
      <c r="IM113" s="17"/>
    </row>
    <row r="114" spans="1:247" s="26" customFormat="1" ht="45" customHeight="1">
      <c r="A114" s="30">
        <v>105</v>
      </c>
      <c r="B114" s="45" t="s">
        <v>231</v>
      </c>
      <c r="C114" s="45" t="s">
        <v>38</v>
      </c>
      <c r="D114" s="46"/>
      <c r="E114" s="47">
        <v>68169</v>
      </c>
      <c r="F114" s="48">
        <v>4</v>
      </c>
      <c r="G114" s="45" t="s">
        <v>858</v>
      </c>
      <c r="H114" s="30" t="s">
        <v>859</v>
      </c>
      <c r="I114" s="45" t="s">
        <v>107</v>
      </c>
      <c r="J114" s="49" t="s">
        <v>860</v>
      </c>
      <c r="K114" s="50" t="str">
        <f>"00030290"</f>
        <v>00030290</v>
      </c>
      <c r="L114" s="28"/>
      <c r="M114" s="16"/>
      <c r="N114" s="18"/>
      <c r="O114" s="19"/>
      <c r="P114" s="20"/>
      <c r="Q114" s="21"/>
      <c r="R114" s="18"/>
      <c r="S114" s="17"/>
      <c r="T114" s="18"/>
      <c r="U114" s="18"/>
      <c r="V114" s="18"/>
      <c r="W114" s="17"/>
      <c r="X114" s="17"/>
      <c r="Y114" s="17"/>
      <c r="Z114" s="17"/>
      <c r="AA114" s="17"/>
      <c r="AB114" s="17"/>
      <c r="AC114" s="17"/>
      <c r="AD114" s="17"/>
      <c r="AE114" s="22"/>
      <c r="AF114" s="17"/>
      <c r="AG114" s="16"/>
      <c r="AH114" s="18"/>
      <c r="AI114" s="19"/>
      <c r="AJ114" s="20"/>
      <c r="AK114" s="21"/>
      <c r="AL114" s="18"/>
      <c r="AM114" s="17"/>
      <c r="AN114" s="18"/>
      <c r="AO114" s="18"/>
      <c r="AP114" s="18"/>
      <c r="AQ114" s="17"/>
      <c r="AR114" s="17"/>
      <c r="AS114" s="17"/>
      <c r="AT114" s="17"/>
      <c r="AU114" s="17"/>
      <c r="AV114" s="17"/>
      <c r="AW114" s="17"/>
      <c r="AX114" s="17"/>
      <c r="AY114" s="22"/>
      <c r="AZ114" s="17"/>
      <c r="BA114" s="16"/>
      <c r="BB114" s="18"/>
      <c r="BC114" s="19"/>
      <c r="BD114" s="20"/>
      <c r="BE114" s="21"/>
      <c r="BF114" s="18"/>
      <c r="BG114" s="17"/>
      <c r="BH114" s="18"/>
      <c r="BI114" s="18"/>
      <c r="BJ114" s="18"/>
      <c r="BK114" s="17"/>
      <c r="BL114" s="17"/>
      <c r="BM114" s="17"/>
      <c r="BN114" s="17"/>
      <c r="BO114" s="17"/>
      <c r="BP114" s="17"/>
      <c r="BQ114" s="17"/>
      <c r="BR114" s="17"/>
      <c r="BS114" s="22"/>
      <c r="BT114" s="17"/>
      <c r="BU114" s="16"/>
      <c r="BV114" s="18"/>
      <c r="BW114" s="19"/>
      <c r="BX114" s="20"/>
      <c r="BY114" s="21"/>
      <c r="BZ114" s="18"/>
      <c r="CA114" s="17"/>
      <c r="CB114" s="18"/>
      <c r="CC114" s="18"/>
      <c r="CD114" s="18"/>
      <c r="CE114" s="17"/>
      <c r="CF114" s="17"/>
      <c r="CG114" s="17"/>
      <c r="CH114" s="17"/>
      <c r="CI114" s="17"/>
      <c r="CJ114" s="17"/>
      <c r="CK114" s="17"/>
      <c r="CL114" s="17"/>
      <c r="CM114" s="22"/>
      <c r="CN114" s="17"/>
      <c r="CO114" s="16"/>
      <c r="CP114" s="18"/>
      <c r="CQ114" s="19"/>
      <c r="CR114" s="20"/>
      <c r="CS114" s="21"/>
      <c r="CT114" s="18"/>
      <c r="CU114" s="17"/>
      <c r="CV114" s="18"/>
      <c r="CW114" s="18"/>
      <c r="CX114" s="18"/>
      <c r="CY114" s="17"/>
      <c r="CZ114" s="17"/>
      <c r="DA114" s="17"/>
      <c r="DB114" s="17"/>
      <c r="DC114" s="17"/>
      <c r="DD114" s="17"/>
      <c r="DE114" s="17"/>
      <c r="DF114" s="17"/>
      <c r="DG114" s="22"/>
      <c r="DH114" s="17"/>
      <c r="DI114" s="16"/>
      <c r="DJ114" s="18"/>
      <c r="DK114" s="19"/>
      <c r="DL114" s="20"/>
      <c r="DM114" s="21"/>
      <c r="DN114" s="18"/>
      <c r="DO114" s="17"/>
      <c r="DP114" s="18"/>
      <c r="DQ114" s="18"/>
      <c r="DR114" s="18"/>
      <c r="DS114" s="17"/>
      <c r="DT114" s="17"/>
      <c r="DU114" s="17"/>
      <c r="DV114" s="17"/>
      <c r="DW114" s="17"/>
      <c r="DX114" s="17"/>
      <c r="DY114" s="17"/>
      <c r="DZ114" s="17"/>
      <c r="EA114" s="22"/>
      <c r="EB114" s="17"/>
      <c r="EC114" s="16"/>
      <c r="ED114" s="18"/>
      <c r="EE114" s="19"/>
      <c r="EF114" s="20"/>
      <c r="EG114" s="21"/>
      <c r="EH114" s="18"/>
      <c r="EI114" s="17"/>
      <c r="EJ114" s="18"/>
      <c r="EK114" s="18"/>
      <c r="EL114" s="18"/>
      <c r="EM114" s="17"/>
      <c r="EN114" s="17"/>
      <c r="EO114" s="17"/>
      <c r="EP114" s="17"/>
      <c r="EQ114" s="17"/>
      <c r="ER114" s="17"/>
      <c r="ES114" s="17"/>
      <c r="ET114" s="17"/>
      <c r="EU114" s="22"/>
      <c r="EV114" s="17"/>
      <c r="EW114" s="16"/>
      <c r="EX114" s="18"/>
      <c r="EY114" s="19"/>
      <c r="EZ114" s="20"/>
      <c r="FA114" s="21"/>
      <c r="FB114" s="18"/>
      <c r="FC114" s="17"/>
      <c r="FD114" s="18"/>
      <c r="FE114" s="18"/>
      <c r="FF114" s="18"/>
      <c r="FG114" s="17"/>
      <c r="FH114" s="17"/>
      <c r="FI114" s="17"/>
      <c r="FJ114" s="17"/>
      <c r="FK114" s="17"/>
      <c r="FL114" s="17"/>
      <c r="FM114" s="17"/>
      <c r="FN114" s="17"/>
      <c r="FO114" s="22"/>
      <c r="FP114" s="17"/>
      <c r="FQ114" s="16"/>
      <c r="FR114" s="18"/>
      <c r="FS114" s="19"/>
      <c r="FT114" s="20"/>
      <c r="FU114" s="21"/>
      <c r="FV114" s="18"/>
      <c r="FW114" s="17"/>
      <c r="FX114" s="18"/>
      <c r="FY114" s="18"/>
      <c r="FZ114" s="18"/>
      <c r="GA114" s="17"/>
      <c r="GB114" s="17"/>
      <c r="GC114" s="17"/>
      <c r="GD114" s="17"/>
      <c r="GE114" s="17"/>
      <c r="GF114" s="17"/>
      <c r="GG114" s="17"/>
      <c r="GH114" s="17"/>
      <c r="GI114" s="22"/>
      <c r="GJ114" s="17"/>
      <c r="GK114" s="16"/>
      <c r="GL114" s="18"/>
      <c r="GM114" s="19"/>
      <c r="GN114" s="20"/>
      <c r="GO114" s="21"/>
      <c r="GP114" s="18"/>
      <c r="GQ114" s="17"/>
      <c r="GR114" s="18"/>
      <c r="GS114" s="18"/>
      <c r="GT114" s="18"/>
      <c r="GU114" s="17"/>
      <c r="GV114" s="17"/>
      <c r="GW114" s="17"/>
      <c r="GX114" s="17"/>
      <c r="GY114" s="17"/>
      <c r="GZ114" s="17"/>
      <c r="HA114" s="17"/>
      <c r="HB114" s="17"/>
      <c r="HC114" s="22"/>
      <c r="HD114" s="17"/>
      <c r="HE114" s="16"/>
      <c r="HF114" s="18"/>
      <c r="HG114" s="19"/>
      <c r="HH114" s="20"/>
      <c r="HI114" s="21"/>
      <c r="HJ114" s="18"/>
      <c r="HK114" s="17"/>
      <c r="HL114" s="18"/>
      <c r="HM114" s="18"/>
      <c r="HN114" s="18"/>
      <c r="HO114" s="17"/>
      <c r="HP114" s="17"/>
      <c r="HQ114" s="17"/>
      <c r="HR114" s="17"/>
      <c r="HS114" s="17"/>
      <c r="HT114" s="17"/>
      <c r="HU114" s="17"/>
      <c r="HV114" s="17"/>
      <c r="HW114" s="22"/>
      <c r="HX114" s="17"/>
      <c r="HY114" s="16"/>
      <c r="HZ114" s="18"/>
      <c r="IA114" s="19"/>
      <c r="IB114" s="20"/>
      <c r="IC114" s="21"/>
      <c r="ID114" s="18"/>
      <c r="IE114" s="17"/>
      <c r="IF114" s="18"/>
      <c r="IG114" s="18"/>
      <c r="IH114" s="18"/>
      <c r="II114" s="17"/>
      <c r="IJ114" s="17"/>
      <c r="IK114" s="17"/>
      <c r="IL114" s="17"/>
      <c r="IM114" s="17"/>
    </row>
    <row r="115" spans="1:247" s="26" customFormat="1" ht="45" customHeight="1">
      <c r="A115" s="30">
        <v>105</v>
      </c>
      <c r="B115" s="45" t="s">
        <v>861</v>
      </c>
      <c r="C115" s="45" t="s">
        <v>38</v>
      </c>
      <c r="D115" s="46"/>
      <c r="E115" s="47">
        <v>35297</v>
      </c>
      <c r="F115" s="48">
        <v>4</v>
      </c>
      <c r="G115" s="49" t="s">
        <v>862</v>
      </c>
      <c r="H115" s="30" t="s">
        <v>863</v>
      </c>
      <c r="I115" s="45" t="s">
        <v>448</v>
      </c>
      <c r="J115" s="45" t="s">
        <v>864</v>
      </c>
      <c r="K115" s="50" t="str">
        <f>"00031295"</f>
        <v>00031295</v>
      </c>
      <c r="L115" s="28"/>
      <c r="M115" s="16"/>
      <c r="N115" s="18"/>
      <c r="O115" s="19"/>
      <c r="P115" s="20"/>
      <c r="Q115" s="21"/>
      <c r="R115" s="18"/>
      <c r="S115" s="17"/>
      <c r="T115" s="18"/>
      <c r="U115" s="18"/>
      <c r="V115" s="18"/>
      <c r="W115" s="17"/>
      <c r="X115" s="17"/>
      <c r="Y115" s="17"/>
      <c r="Z115" s="17"/>
      <c r="AA115" s="17"/>
      <c r="AB115" s="17"/>
      <c r="AC115" s="17"/>
      <c r="AD115" s="17"/>
      <c r="AE115" s="22"/>
      <c r="AF115" s="17"/>
      <c r="AG115" s="16"/>
      <c r="AH115" s="18"/>
      <c r="AI115" s="19"/>
      <c r="AJ115" s="20"/>
      <c r="AK115" s="21"/>
      <c r="AL115" s="18"/>
      <c r="AM115" s="17"/>
      <c r="AN115" s="18"/>
      <c r="AO115" s="18"/>
      <c r="AP115" s="18"/>
      <c r="AQ115" s="17"/>
      <c r="AR115" s="17"/>
      <c r="AS115" s="17"/>
      <c r="AT115" s="17"/>
      <c r="AU115" s="17"/>
      <c r="AV115" s="17"/>
      <c r="AW115" s="17"/>
      <c r="AX115" s="17"/>
      <c r="AY115" s="22"/>
      <c r="AZ115" s="17"/>
      <c r="BA115" s="16"/>
      <c r="BB115" s="18"/>
      <c r="BC115" s="19"/>
      <c r="BD115" s="20"/>
      <c r="BE115" s="21"/>
      <c r="BF115" s="18"/>
      <c r="BG115" s="17"/>
      <c r="BH115" s="18"/>
      <c r="BI115" s="18"/>
      <c r="BJ115" s="18"/>
      <c r="BK115" s="17"/>
      <c r="BL115" s="17"/>
      <c r="BM115" s="17"/>
      <c r="BN115" s="17"/>
      <c r="BO115" s="17"/>
      <c r="BP115" s="17"/>
      <c r="BQ115" s="17"/>
      <c r="BR115" s="17"/>
      <c r="BS115" s="22"/>
      <c r="BT115" s="17"/>
      <c r="BU115" s="16"/>
      <c r="BV115" s="18"/>
      <c r="BW115" s="19"/>
      <c r="BX115" s="20"/>
      <c r="BY115" s="21"/>
      <c r="BZ115" s="18"/>
      <c r="CA115" s="17"/>
      <c r="CB115" s="18"/>
      <c r="CC115" s="18"/>
      <c r="CD115" s="18"/>
      <c r="CE115" s="17"/>
      <c r="CF115" s="17"/>
      <c r="CG115" s="17"/>
      <c r="CH115" s="17"/>
      <c r="CI115" s="17"/>
      <c r="CJ115" s="17"/>
      <c r="CK115" s="17"/>
      <c r="CL115" s="17"/>
      <c r="CM115" s="22"/>
      <c r="CN115" s="17"/>
      <c r="CO115" s="16"/>
      <c r="CP115" s="18"/>
      <c r="CQ115" s="19"/>
      <c r="CR115" s="20"/>
      <c r="CS115" s="21"/>
      <c r="CT115" s="18"/>
      <c r="CU115" s="17"/>
      <c r="CV115" s="18"/>
      <c r="CW115" s="18"/>
      <c r="CX115" s="18"/>
      <c r="CY115" s="17"/>
      <c r="CZ115" s="17"/>
      <c r="DA115" s="17"/>
      <c r="DB115" s="17"/>
      <c r="DC115" s="17"/>
      <c r="DD115" s="17"/>
      <c r="DE115" s="17"/>
      <c r="DF115" s="17"/>
      <c r="DG115" s="22"/>
      <c r="DH115" s="17"/>
      <c r="DI115" s="16"/>
      <c r="DJ115" s="18"/>
      <c r="DK115" s="19"/>
      <c r="DL115" s="20"/>
      <c r="DM115" s="21"/>
      <c r="DN115" s="18"/>
      <c r="DO115" s="17"/>
      <c r="DP115" s="18"/>
      <c r="DQ115" s="18"/>
      <c r="DR115" s="18"/>
      <c r="DS115" s="17"/>
      <c r="DT115" s="17"/>
      <c r="DU115" s="17"/>
      <c r="DV115" s="17"/>
      <c r="DW115" s="17"/>
      <c r="DX115" s="17"/>
      <c r="DY115" s="17"/>
      <c r="DZ115" s="17"/>
      <c r="EA115" s="22"/>
      <c r="EB115" s="17"/>
      <c r="EC115" s="16"/>
      <c r="ED115" s="18"/>
      <c r="EE115" s="19"/>
      <c r="EF115" s="20"/>
      <c r="EG115" s="21"/>
      <c r="EH115" s="18"/>
      <c r="EI115" s="17"/>
      <c r="EJ115" s="18"/>
      <c r="EK115" s="18"/>
      <c r="EL115" s="18"/>
      <c r="EM115" s="17"/>
      <c r="EN115" s="17"/>
      <c r="EO115" s="17"/>
      <c r="EP115" s="17"/>
      <c r="EQ115" s="17"/>
      <c r="ER115" s="17"/>
      <c r="ES115" s="17"/>
      <c r="ET115" s="17"/>
      <c r="EU115" s="22"/>
      <c r="EV115" s="17"/>
      <c r="EW115" s="16"/>
      <c r="EX115" s="18"/>
      <c r="EY115" s="19"/>
      <c r="EZ115" s="20"/>
      <c r="FA115" s="21"/>
      <c r="FB115" s="18"/>
      <c r="FC115" s="17"/>
      <c r="FD115" s="18"/>
      <c r="FE115" s="18"/>
      <c r="FF115" s="18"/>
      <c r="FG115" s="17"/>
      <c r="FH115" s="17"/>
      <c r="FI115" s="17"/>
      <c r="FJ115" s="17"/>
      <c r="FK115" s="17"/>
      <c r="FL115" s="17"/>
      <c r="FM115" s="17"/>
      <c r="FN115" s="17"/>
      <c r="FO115" s="22"/>
      <c r="FP115" s="17"/>
      <c r="FQ115" s="16"/>
      <c r="FR115" s="18"/>
      <c r="FS115" s="19"/>
      <c r="FT115" s="20"/>
      <c r="FU115" s="21"/>
      <c r="FV115" s="18"/>
      <c r="FW115" s="17"/>
      <c r="FX115" s="18"/>
      <c r="FY115" s="18"/>
      <c r="FZ115" s="18"/>
      <c r="GA115" s="17"/>
      <c r="GB115" s="17"/>
      <c r="GC115" s="17"/>
      <c r="GD115" s="17"/>
      <c r="GE115" s="17"/>
      <c r="GF115" s="17"/>
      <c r="GG115" s="17"/>
      <c r="GH115" s="17"/>
      <c r="GI115" s="22"/>
      <c r="GJ115" s="17"/>
      <c r="GK115" s="16"/>
      <c r="GL115" s="18"/>
      <c r="GM115" s="19"/>
      <c r="GN115" s="20"/>
      <c r="GO115" s="21"/>
      <c r="GP115" s="18"/>
      <c r="GQ115" s="17"/>
      <c r="GR115" s="18"/>
      <c r="GS115" s="18"/>
      <c r="GT115" s="18"/>
      <c r="GU115" s="17"/>
      <c r="GV115" s="17"/>
      <c r="GW115" s="17"/>
      <c r="GX115" s="17"/>
      <c r="GY115" s="17"/>
      <c r="GZ115" s="17"/>
      <c r="HA115" s="17"/>
      <c r="HB115" s="17"/>
      <c r="HC115" s="22"/>
      <c r="HD115" s="17"/>
      <c r="HE115" s="16"/>
      <c r="HF115" s="18"/>
      <c r="HG115" s="19"/>
      <c r="HH115" s="20"/>
      <c r="HI115" s="21"/>
      <c r="HJ115" s="18"/>
      <c r="HK115" s="17"/>
      <c r="HL115" s="18"/>
      <c r="HM115" s="18"/>
      <c r="HN115" s="18"/>
      <c r="HO115" s="17"/>
      <c r="HP115" s="17"/>
      <c r="HQ115" s="17"/>
      <c r="HR115" s="17"/>
      <c r="HS115" s="17"/>
      <c r="HT115" s="17"/>
      <c r="HU115" s="17"/>
      <c r="HV115" s="17"/>
      <c r="HW115" s="22"/>
      <c r="HX115" s="17"/>
      <c r="HY115" s="16"/>
      <c r="HZ115" s="18"/>
      <c r="IA115" s="19"/>
      <c r="IB115" s="20"/>
      <c r="IC115" s="21"/>
      <c r="ID115" s="18"/>
      <c r="IE115" s="17"/>
      <c r="IF115" s="18"/>
      <c r="IG115" s="18"/>
      <c r="IH115" s="18"/>
      <c r="II115" s="17"/>
      <c r="IJ115" s="17"/>
      <c r="IK115" s="17"/>
      <c r="IL115" s="17"/>
      <c r="IM115" s="17"/>
    </row>
    <row r="116" spans="1:247" s="26" customFormat="1" ht="45" customHeight="1">
      <c r="A116" s="30">
        <v>105</v>
      </c>
      <c r="B116" s="45" t="s">
        <v>854</v>
      </c>
      <c r="C116" s="45" t="s">
        <v>38</v>
      </c>
      <c r="D116" s="46"/>
      <c r="E116" s="47">
        <v>117800</v>
      </c>
      <c r="F116" s="48">
        <v>4</v>
      </c>
      <c r="G116" s="45" t="s">
        <v>5568</v>
      </c>
      <c r="H116" s="30" t="s">
        <v>855</v>
      </c>
      <c r="I116" s="45" t="s">
        <v>107</v>
      </c>
      <c r="J116" s="45" t="s">
        <v>856</v>
      </c>
      <c r="K116" s="61" t="s">
        <v>5985</v>
      </c>
      <c r="L116" s="28"/>
      <c r="M116" s="16"/>
      <c r="N116" s="18"/>
      <c r="O116" s="19"/>
      <c r="P116" s="20"/>
      <c r="Q116" s="21"/>
      <c r="R116" s="18"/>
      <c r="S116" s="17"/>
      <c r="T116" s="18"/>
      <c r="U116" s="18"/>
      <c r="V116" s="18"/>
      <c r="W116" s="17"/>
      <c r="X116" s="17"/>
      <c r="Y116" s="17"/>
      <c r="Z116" s="17"/>
      <c r="AA116" s="17"/>
      <c r="AB116" s="17"/>
      <c r="AC116" s="17"/>
      <c r="AD116" s="17"/>
      <c r="AE116" s="22"/>
      <c r="AF116" s="17"/>
      <c r="AG116" s="16"/>
      <c r="AH116" s="18"/>
      <c r="AI116" s="19"/>
      <c r="AJ116" s="20"/>
      <c r="AK116" s="21"/>
      <c r="AL116" s="18"/>
      <c r="AM116" s="17"/>
      <c r="AN116" s="18"/>
      <c r="AO116" s="18"/>
      <c r="AP116" s="18"/>
      <c r="AQ116" s="17"/>
      <c r="AR116" s="17"/>
      <c r="AS116" s="17"/>
      <c r="AT116" s="17"/>
      <c r="AU116" s="17"/>
      <c r="AV116" s="17"/>
      <c r="AW116" s="17"/>
      <c r="AX116" s="17"/>
      <c r="AY116" s="22"/>
      <c r="AZ116" s="17"/>
      <c r="BA116" s="16"/>
      <c r="BB116" s="18"/>
      <c r="BC116" s="19"/>
      <c r="BD116" s="20"/>
      <c r="BE116" s="21"/>
      <c r="BF116" s="18"/>
      <c r="BG116" s="17"/>
      <c r="BH116" s="18"/>
      <c r="BI116" s="18"/>
      <c r="BJ116" s="18"/>
      <c r="BK116" s="17"/>
      <c r="BL116" s="17"/>
      <c r="BM116" s="17"/>
      <c r="BN116" s="17"/>
      <c r="BO116" s="17"/>
      <c r="BP116" s="17"/>
      <c r="BQ116" s="17"/>
      <c r="BR116" s="17"/>
      <c r="BS116" s="22"/>
      <c r="BT116" s="17"/>
      <c r="BU116" s="16"/>
      <c r="BV116" s="18"/>
      <c r="BW116" s="19"/>
      <c r="BX116" s="20"/>
      <c r="BY116" s="21"/>
      <c r="BZ116" s="18"/>
      <c r="CA116" s="17"/>
      <c r="CB116" s="18"/>
      <c r="CC116" s="18"/>
      <c r="CD116" s="18"/>
      <c r="CE116" s="17"/>
      <c r="CF116" s="17"/>
      <c r="CG116" s="17"/>
      <c r="CH116" s="17"/>
      <c r="CI116" s="17"/>
      <c r="CJ116" s="17"/>
      <c r="CK116" s="17"/>
      <c r="CL116" s="17"/>
      <c r="CM116" s="22"/>
      <c r="CN116" s="17"/>
      <c r="CO116" s="16"/>
      <c r="CP116" s="18"/>
      <c r="CQ116" s="19"/>
      <c r="CR116" s="20"/>
      <c r="CS116" s="21"/>
      <c r="CT116" s="18"/>
      <c r="CU116" s="17"/>
      <c r="CV116" s="18"/>
      <c r="CW116" s="18"/>
      <c r="CX116" s="18"/>
      <c r="CY116" s="17"/>
      <c r="CZ116" s="17"/>
      <c r="DA116" s="17"/>
      <c r="DB116" s="17"/>
      <c r="DC116" s="17"/>
      <c r="DD116" s="17"/>
      <c r="DE116" s="17"/>
      <c r="DF116" s="17"/>
      <c r="DG116" s="22"/>
      <c r="DH116" s="17"/>
      <c r="DI116" s="16"/>
      <c r="DJ116" s="18"/>
      <c r="DK116" s="19"/>
      <c r="DL116" s="20"/>
      <c r="DM116" s="21"/>
      <c r="DN116" s="18"/>
      <c r="DO116" s="17"/>
      <c r="DP116" s="18"/>
      <c r="DQ116" s="18"/>
      <c r="DR116" s="18"/>
      <c r="DS116" s="17"/>
      <c r="DT116" s="17"/>
      <c r="DU116" s="17"/>
      <c r="DV116" s="17"/>
      <c r="DW116" s="17"/>
      <c r="DX116" s="17"/>
      <c r="DY116" s="17"/>
      <c r="DZ116" s="17"/>
      <c r="EA116" s="22"/>
      <c r="EB116" s="17"/>
      <c r="EC116" s="16"/>
      <c r="ED116" s="18"/>
      <c r="EE116" s="19"/>
      <c r="EF116" s="20"/>
      <c r="EG116" s="21"/>
      <c r="EH116" s="18"/>
      <c r="EI116" s="17"/>
      <c r="EJ116" s="18"/>
      <c r="EK116" s="18"/>
      <c r="EL116" s="18"/>
      <c r="EM116" s="17"/>
      <c r="EN116" s="17"/>
      <c r="EO116" s="17"/>
      <c r="EP116" s="17"/>
      <c r="EQ116" s="17"/>
      <c r="ER116" s="17"/>
      <c r="ES116" s="17"/>
      <c r="ET116" s="17"/>
      <c r="EU116" s="22"/>
      <c r="EV116" s="17"/>
      <c r="EW116" s="16"/>
      <c r="EX116" s="18"/>
      <c r="EY116" s="19"/>
      <c r="EZ116" s="20"/>
      <c r="FA116" s="21"/>
      <c r="FB116" s="18"/>
      <c r="FC116" s="17"/>
      <c r="FD116" s="18"/>
      <c r="FE116" s="18"/>
      <c r="FF116" s="18"/>
      <c r="FG116" s="17"/>
      <c r="FH116" s="17"/>
      <c r="FI116" s="17"/>
      <c r="FJ116" s="17"/>
      <c r="FK116" s="17"/>
      <c r="FL116" s="17"/>
      <c r="FM116" s="17"/>
      <c r="FN116" s="17"/>
      <c r="FO116" s="22"/>
      <c r="FP116" s="17"/>
      <c r="FQ116" s="16"/>
      <c r="FR116" s="18"/>
      <c r="FS116" s="19"/>
      <c r="FT116" s="20"/>
      <c r="FU116" s="21"/>
      <c r="FV116" s="18"/>
      <c r="FW116" s="17"/>
      <c r="FX116" s="18"/>
      <c r="FY116" s="18"/>
      <c r="FZ116" s="18"/>
      <c r="GA116" s="17"/>
      <c r="GB116" s="17"/>
      <c r="GC116" s="17"/>
      <c r="GD116" s="17"/>
      <c r="GE116" s="17"/>
      <c r="GF116" s="17"/>
      <c r="GG116" s="17"/>
      <c r="GH116" s="17"/>
      <c r="GI116" s="22"/>
      <c r="GJ116" s="17"/>
      <c r="GK116" s="16"/>
      <c r="GL116" s="18"/>
      <c r="GM116" s="19"/>
      <c r="GN116" s="20"/>
      <c r="GO116" s="21"/>
      <c r="GP116" s="18"/>
      <c r="GQ116" s="17"/>
      <c r="GR116" s="18"/>
      <c r="GS116" s="18"/>
      <c r="GT116" s="18"/>
      <c r="GU116" s="17"/>
      <c r="GV116" s="17"/>
      <c r="GW116" s="17"/>
      <c r="GX116" s="17"/>
      <c r="GY116" s="17"/>
      <c r="GZ116" s="17"/>
      <c r="HA116" s="17"/>
      <c r="HB116" s="17"/>
      <c r="HC116" s="22"/>
      <c r="HD116" s="17"/>
      <c r="HE116" s="16"/>
      <c r="HF116" s="18"/>
      <c r="HG116" s="19"/>
      <c r="HH116" s="20"/>
      <c r="HI116" s="21"/>
      <c r="HJ116" s="18"/>
      <c r="HK116" s="17"/>
      <c r="HL116" s="18"/>
      <c r="HM116" s="18"/>
      <c r="HN116" s="18"/>
      <c r="HO116" s="17"/>
      <c r="HP116" s="17"/>
      <c r="HQ116" s="17"/>
      <c r="HR116" s="17"/>
      <c r="HS116" s="17"/>
      <c r="HT116" s="17"/>
      <c r="HU116" s="17"/>
      <c r="HV116" s="17"/>
      <c r="HW116" s="22"/>
      <c r="HX116" s="17"/>
      <c r="HY116" s="16"/>
      <c r="HZ116" s="18"/>
      <c r="IA116" s="19"/>
      <c r="IB116" s="20"/>
      <c r="IC116" s="21"/>
      <c r="ID116" s="18"/>
      <c r="IE116" s="17"/>
      <c r="IF116" s="18"/>
      <c r="IG116" s="18"/>
      <c r="IH116" s="18"/>
      <c r="II116" s="17"/>
      <c r="IJ116" s="17"/>
      <c r="IK116" s="17"/>
      <c r="IL116" s="17"/>
      <c r="IM116" s="17"/>
    </row>
    <row r="117" spans="1:247" s="26" customFormat="1" ht="45" customHeight="1">
      <c r="A117" s="30">
        <v>105</v>
      </c>
      <c r="B117" s="45" t="s">
        <v>235</v>
      </c>
      <c r="C117" s="45" t="s">
        <v>38</v>
      </c>
      <c r="D117" s="46"/>
      <c r="E117" s="47">
        <v>5983</v>
      </c>
      <c r="F117" s="48">
        <v>4</v>
      </c>
      <c r="G117" s="45" t="s">
        <v>857</v>
      </c>
      <c r="H117" s="30" t="s">
        <v>802</v>
      </c>
      <c r="I117" s="45" t="s">
        <v>100</v>
      </c>
      <c r="J117" s="45" t="s">
        <v>178</v>
      </c>
      <c r="K117" s="50" t="str">
        <f>"00030069"</f>
        <v>00030069</v>
      </c>
      <c r="L117" s="28"/>
      <c r="M117" s="16"/>
      <c r="N117" s="18"/>
      <c r="O117" s="19"/>
      <c r="P117" s="20"/>
      <c r="Q117" s="21"/>
      <c r="R117" s="18"/>
      <c r="S117" s="17"/>
      <c r="T117" s="18"/>
      <c r="U117" s="18"/>
      <c r="V117" s="18"/>
      <c r="W117" s="17"/>
      <c r="X117" s="17"/>
      <c r="Y117" s="17"/>
      <c r="Z117" s="17"/>
      <c r="AA117" s="17"/>
      <c r="AB117" s="17"/>
      <c r="AC117" s="17"/>
      <c r="AD117" s="17"/>
      <c r="AE117" s="22"/>
      <c r="AF117" s="17"/>
      <c r="AG117" s="16"/>
      <c r="AH117" s="18"/>
      <c r="AI117" s="19"/>
      <c r="AJ117" s="20"/>
      <c r="AK117" s="21"/>
      <c r="AL117" s="18"/>
      <c r="AM117" s="17"/>
      <c r="AN117" s="18"/>
      <c r="AO117" s="18"/>
      <c r="AP117" s="18"/>
      <c r="AQ117" s="17"/>
      <c r="AR117" s="17"/>
      <c r="AS117" s="17"/>
      <c r="AT117" s="17"/>
      <c r="AU117" s="17"/>
      <c r="AV117" s="17"/>
      <c r="AW117" s="17"/>
      <c r="AX117" s="17"/>
      <c r="AY117" s="22"/>
      <c r="AZ117" s="17"/>
      <c r="BA117" s="16"/>
      <c r="BB117" s="18"/>
      <c r="BC117" s="19"/>
      <c r="BD117" s="20"/>
      <c r="BE117" s="21"/>
      <c r="BF117" s="18"/>
      <c r="BG117" s="17"/>
      <c r="BH117" s="18"/>
      <c r="BI117" s="18"/>
      <c r="BJ117" s="18"/>
      <c r="BK117" s="17"/>
      <c r="BL117" s="17"/>
      <c r="BM117" s="17"/>
      <c r="BN117" s="17"/>
      <c r="BO117" s="17"/>
      <c r="BP117" s="17"/>
      <c r="BQ117" s="17"/>
      <c r="BR117" s="17"/>
      <c r="BS117" s="22"/>
      <c r="BT117" s="17"/>
      <c r="BU117" s="16"/>
      <c r="BV117" s="18"/>
      <c r="BW117" s="19"/>
      <c r="BX117" s="20"/>
      <c r="BY117" s="21"/>
      <c r="BZ117" s="18"/>
      <c r="CA117" s="17"/>
      <c r="CB117" s="18"/>
      <c r="CC117" s="18"/>
      <c r="CD117" s="18"/>
      <c r="CE117" s="17"/>
      <c r="CF117" s="17"/>
      <c r="CG117" s="17"/>
      <c r="CH117" s="17"/>
      <c r="CI117" s="17"/>
      <c r="CJ117" s="17"/>
      <c r="CK117" s="17"/>
      <c r="CL117" s="17"/>
      <c r="CM117" s="22"/>
      <c r="CN117" s="17"/>
      <c r="CO117" s="16"/>
      <c r="CP117" s="18"/>
      <c r="CQ117" s="19"/>
      <c r="CR117" s="20"/>
      <c r="CS117" s="21"/>
      <c r="CT117" s="18"/>
      <c r="CU117" s="17"/>
      <c r="CV117" s="18"/>
      <c r="CW117" s="18"/>
      <c r="CX117" s="18"/>
      <c r="CY117" s="17"/>
      <c r="CZ117" s="17"/>
      <c r="DA117" s="17"/>
      <c r="DB117" s="17"/>
      <c r="DC117" s="17"/>
      <c r="DD117" s="17"/>
      <c r="DE117" s="17"/>
      <c r="DF117" s="17"/>
      <c r="DG117" s="22"/>
      <c r="DH117" s="17"/>
      <c r="DI117" s="16"/>
      <c r="DJ117" s="18"/>
      <c r="DK117" s="19"/>
      <c r="DL117" s="20"/>
      <c r="DM117" s="21"/>
      <c r="DN117" s="18"/>
      <c r="DO117" s="17"/>
      <c r="DP117" s="18"/>
      <c r="DQ117" s="18"/>
      <c r="DR117" s="18"/>
      <c r="DS117" s="17"/>
      <c r="DT117" s="17"/>
      <c r="DU117" s="17"/>
      <c r="DV117" s="17"/>
      <c r="DW117" s="17"/>
      <c r="DX117" s="17"/>
      <c r="DY117" s="17"/>
      <c r="DZ117" s="17"/>
      <c r="EA117" s="22"/>
      <c r="EB117" s="17"/>
      <c r="EC117" s="16"/>
      <c r="ED117" s="18"/>
      <c r="EE117" s="19"/>
      <c r="EF117" s="20"/>
      <c r="EG117" s="21"/>
      <c r="EH117" s="18"/>
      <c r="EI117" s="17"/>
      <c r="EJ117" s="18"/>
      <c r="EK117" s="18"/>
      <c r="EL117" s="18"/>
      <c r="EM117" s="17"/>
      <c r="EN117" s="17"/>
      <c r="EO117" s="17"/>
      <c r="EP117" s="17"/>
      <c r="EQ117" s="17"/>
      <c r="ER117" s="17"/>
      <c r="ES117" s="17"/>
      <c r="ET117" s="17"/>
      <c r="EU117" s="22"/>
      <c r="EV117" s="17"/>
      <c r="EW117" s="16"/>
      <c r="EX117" s="18"/>
      <c r="EY117" s="19"/>
      <c r="EZ117" s="20"/>
      <c r="FA117" s="21"/>
      <c r="FB117" s="18"/>
      <c r="FC117" s="17"/>
      <c r="FD117" s="18"/>
      <c r="FE117" s="18"/>
      <c r="FF117" s="18"/>
      <c r="FG117" s="17"/>
      <c r="FH117" s="17"/>
      <c r="FI117" s="17"/>
      <c r="FJ117" s="17"/>
      <c r="FK117" s="17"/>
      <c r="FL117" s="17"/>
      <c r="FM117" s="17"/>
      <c r="FN117" s="17"/>
      <c r="FO117" s="22"/>
      <c r="FP117" s="17"/>
      <c r="FQ117" s="16"/>
      <c r="FR117" s="18"/>
      <c r="FS117" s="19"/>
      <c r="FT117" s="20"/>
      <c r="FU117" s="21"/>
      <c r="FV117" s="18"/>
      <c r="FW117" s="17"/>
      <c r="FX117" s="18"/>
      <c r="FY117" s="18"/>
      <c r="FZ117" s="18"/>
      <c r="GA117" s="17"/>
      <c r="GB117" s="17"/>
      <c r="GC117" s="17"/>
      <c r="GD117" s="17"/>
      <c r="GE117" s="17"/>
      <c r="GF117" s="17"/>
      <c r="GG117" s="17"/>
      <c r="GH117" s="17"/>
      <c r="GI117" s="22"/>
      <c r="GJ117" s="17"/>
      <c r="GK117" s="16"/>
      <c r="GL117" s="18"/>
      <c r="GM117" s="19"/>
      <c r="GN117" s="20"/>
      <c r="GO117" s="21"/>
      <c r="GP117" s="18"/>
      <c r="GQ117" s="17"/>
      <c r="GR117" s="18"/>
      <c r="GS117" s="18"/>
      <c r="GT117" s="18"/>
      <c r="GU117" s="17"/>
      <c r="GV117" s="17"/>
      <c r="GW117" s="17"/>
      <c r="GX117" s="17"/>
      <c r="GY117" s="17"/>
      <c r="GZ117" s="17"/>
      <c r="HA117" s="17"/>
      <c r="HB117" s="17"/>
      <c r="HC117" s="22"/>
      <c r="HD117" s="17"/>
      <c r="HE117" s="16"/>
      <c r="HF117" s="18"/>
      <c r="HG117" s="19"/>
      <c r="HH117" s="20"/>
      <c r="HI117" s="21"/>
      <c r="HJ117" s="18"/>
      <c r="HK117" s="17"/>
      <c r="HL117" s="18"/>
      <c r="HM117" s="18"/>
      <c r="HN117" s="18"/>
      <c r="HO117" s="17"/>
      <c r="HP117" s="17"/>
      <c r="HQ117" s="17"/>
      <c r="HR117" s="17"/>
      <c r="HS117" s="17"/>
      <c r="HT117" s="17"/>
      <c r="HU117" s="17"/>
      <c r="HV117" s="17"/>
      <c r="HW117" s="22"/>
      <c r="HX117" s="17"/>
      <c r="HY117" s="16"/>
      <c r="HZ117" s="18"/>
      <c r="IA117" s="19"/>
      <c r="IB117" s="20"/>
      <c r="IC117" s="21"/>
      <c r="ID117" s="18"/>
      <c r="IE117" s="17"/>
      <c r="IF117" s="18"/>
      <c r="IG117" s="18"/>
      <c r="IH117" s="18"/>
      <c r="II117" s="17"/>
      <c r="IJ117" s="17"/>
      <c r="IK117" s="17"/>
      <c r="IL117" s="17"/>
      <c r="IM117" s="17"/>
    </row>
    <row r="118" spans="1:247" s="26" customFormat="1" ht="45" customHeight="1">
      <c r="A118" s="30">
        <v>105</v>
      </c>
      <c r="B118" s="45" t="s">
        <v>865</v>
      </c>
      <c r="C118" s="45" t="s">
        <v>38</v>
      </c>
      <c r="D118" s="46"/>
      <c r="E118" s="47">
        <v>156707</v>
      </c>
      <c r="F118" s="48">
        <v>4</v>
      </c>
      <c r="G118" s="49" t="s">
        <v>866</v>
      </c>
      <c r="H118" s="30" t="s">
        <v>867</v>
      </c>
      <c r="I118" s="45" t="s">
        <v>434</v>
      </c>
      <c r="J118" s="45" t="s">
        <v>435</v>
      </c>
      <c r="K118" s="61" t="s">
        <v>5986</v>
      </c>
      <c r="L118" s="28"/>
      <c r="M118" s="16"/>
      <c r="N118" s="18"/>
      <c r="O118" s="19"/>
      <c r="P118" s="20"/>
      <c r="Q118" s="21"/>
      <c r="R118" s="18"/>
      <c r="S118" s="17"/>
      <c r="T118" s="18"/>
      <c r="U118" s="18"/>
      <c r="V118" s="18"/>
      <c r="W118" s="17"/>
      <c r="X118" s="17"/>
      <c r="Y118" s="17"/>
      <c r="Z118" s="17"/>
      <c r="AA118" s="17"/>
      <c r="AB118" s="17"/>
      <c r="AC118" s="17"/>
      <c r="AD118" s="17"/>
      <c r="AE118" s="22"/>
      <c r="AF118" s="17"/>
      <c r="AG118" s="16"/>
      <c r="AH118" s="18"/>
      <c r="AI118" s="19"/>
      <c r="AJ118" s="20"/>
      <c r="AK118" s="21"/>
      <c r="AL118" s="18"/>
      <c r="AM118" s="17"/>
      <c r="AN118" s="18"/>
      <c r="AO118" s="18"/>
      <c r="AP118" s="18"/>
      <c r="AQ118" s="17"/>
      <c r="AR118" s="17"/>
      <c r="AS118" s="17"/>
      <c r="AT118" s="17"/>
      <c r="AU118" s="17"/>
      <c r="AV118" s="17"/>
      <c r="AW118" s="17"/>
      <c r="AX118" s="17"/>
      <c r="AY118" s="22"/>
      <c r="AZ118" s="17"/>
      <c r="BA118" s="16"/>
      <c r="BB118" s="18"/>
      <c r="BC118" s="19"/>
      <c r="BD118" s="20"/>
      <c r="BE118" s="21"/>
      <c r="BF118" s="18"/>
      <c r="BG118" s="17"/>
      <c r="BH118" s="18"/>
      <c r="BI118" s="18"/>
      <c r="BJ118" s="18"/>
      <c r="BK118" s="17"/>
      <c r="BL118" s="17"/>
      <c r="BM118" s="17"/>
      <c r="BN118" s="17"/>
      <c r="BO118" s="17"/>
      <c r="BP118" s="17"/>
      <c r="BQ118" s="17"/>
      <c r="BR118" s="17"/>
      <c r="BS118" s="22"/>
      <c r="BT118" s="17"/>
      <c r="BU118" s="16"/>
      <c r="BV118" s="18"/>
      <c r="BW118" s="19"/>
      <c r="BX118" s="20"/>
      <c r="BY118" s="21"/>
      <c r="BZ118" s="18"/>
      <c r="CA118" s="17"/>
      <c r="CB118" s="18"/>
      <c r="CC118" s="18"/>
      <c r="CD118" s="18"/>
      <c r="CE118" s="17"/>
      <c r="CF118" s="17"/>
      <c r="CG118" s="17"/>
      <c r="CH118" s="17"/>
      <c r="CI118" s="17"/>
      <c r="CJ118" s="17"/>
      <c r="CK118" s="17"/>
      <c r="CL118" s="17"/>
      <c r="CM118" s="22"/>
      <c r="CN118" s="17"/>
      <c r="CO118" s="16"/>
      <c r="CP118" s="18"/>
      <c r="CQ118" s="19"/>
      <c r="CR118" s="20"/>
      <c r="CS118" s="21"/>
      <c r="CT118" s="18"/>
      <c r="CU118" s="17"/>
      <c r="CV118" s="18"/>
      <c r="CW118" s="18"/>
      <c r="CX118" s="18"/>
      <c r="CY118" s="17"/>
      <c r="CZ118" s="17"/>
      <c r="DA118" s="17"/>
      <c r="DB118" s="17"/>
      <c r="DC118" s="17"/>
      <c r="DD118" s="17"/>
      <c r="DE118" s="17"/>
      <c r="DF118" s="17"/>
      <c r="DG118" s="22"/>
      <c r="DH118" s="17"/>
      <c r="DI118" s="16"/>
      <c r="DJ118" s="18"/>
      <c r="DK118" s="19"/>
      <c r="DL118" s="20"/>
      <c r="DM118" s="21"/>
      <c r="DN118" s="18"/>
      <c r="DO118" s="17"/>
      <c r="DP118" s="18"/>
      <c r="DQ118" s="18"/>
      <c r="DR118" s="18"/>
      <c r="DS118" s="17"/>
      <c r="DT118" s="17"/>
      <c r="DU118" s="17"/>
      <c r="DV118" s="17"/>
      <c r="DW118" s="17"/>
      <c r="DX118" s="17"/>
      <c r="DY118" s="17"/>
      <c r="DZ118" s="17"/>
      <c r="EA118" s="22"/>
      <c r="EB118" s="17"/>
      <c r="EC118" s="16"/>
      <c r="ED118" s="18"/>
      <c r="EE118" s="19"/>
      <c r="EF118" s="20"/>
      <c r="EG118" s="21"/>
      <c r="EH118" s="18"/>
      <c r="EI118" s="17"/>
      <c r="EJ118" s="18"/>
      <c r="EK118" s="18"/>
      <c r="EL118" s="18"/>
      <c r="EM118" s="17"/>
      <c r="EN118" s="17"/>
      <c r="EO118" s="17"/>
      <c r="EP118" s="17"/>
      <c r="EQ118" s="17"/>
      <c r="ER118" s="17"/>
      <c r="ES118" s="17"/>
      <c r="ET118" s="17"/>
      <c r="EU118" s="22"/>
      <c r="EV118" s="17"/>
      <c r="EW118" s="16"/>
      <c r="EX118" s="18"/>
      <c r="EY118" s="19"/>
      <c r="EZ118" s="20"/>
      <c r="FA118" s="21"/>
      <c r="FB118" s="18"/>
      <c r="FC118" s="17"/>
      <c r="FD118" s="18"/>
      <c r="FE118" s="18"/>
      <c r="FF118" s="18"/>
      <c r="FG118" s="17"/>
      <c r="FH118" s="17"/>
      <c r="FI118" s="17"/>
      <c r="FJ118" s="17"/>
      <c r="FK118" s="17"/>
      <c r="FL118" s="17"/>
      <c r="FM118" s="17"/>
      <c r="FN118" s="17"/>
      <c r="FO118" s="22"/>
      <c r="FP118" s="17"/>
      <c r="FQ118" s="16"/>
      <c r="FR118" s="18"/>
      <c r="FS118" s="19"/>
      <c r="FT118" s="20"/>
      <c r="FU118" s="21"/>
      <c r="FV118" s="18"/>
      <c r="FW118" s="17"/>
      <c r="FX118" s="18"/>
      <c r="FY118" s="18"/>
      <c r="FZ118" s="18"/>
      <c r="GA118" s="17"/>
      <c r="GB118" s="17"/>
      <c r="GC118" s="17"/>
      <c r="GD118" s="17"/>
      <c r="GE118" s="17"/>
      <c r="GF118" s="17"/>
      <c r="GG118" s="17"/>
      <c r="GH118" s="17"/>
      <c r="GI118" s="22"/>
      <c r="GJ118" s="17"/>
      <c r="GK118" s="16"/>
      <c r="GL118" s="18"/>
      <c r="GM118" s="19"/>
      <c r="GN118" s="20"/>
      <c r="GO118" s="21"/>
      <c r="GP118" s="18"/>
      <c r="GQ118" s="17"/>
      <c r="GR118" s="18"/>
      <c r="GS118" s="18"/>
      <c r="GT118" s="18"/>
      <c r="GU118" s="17"/>
      <c r="GV118" s="17"/>
      <c r="GW118" s="17"/>
      <c r="GX118" s="17"/>
      <c r="GY118" s="17"/>
      <c r="GZ118" s="17"/>
      <c r="HA118" s="17"/>
      <c r="HB118" s="17"/>
      <c r="HC118" s="22"/>
      <c r="HD118" s="17"/>
      <c r="HE118" s="16"/>
      <c r="HF118" s="18"/>
      <c r="HG118" s="19"/>
      <c r="HH118" s="20"/>
      <c r="HI118" s="21"/>
      <c r="HJ118" s="18"/>
      <c r="HK118" s="17"/>
      <c r="HL118" s="18"/>
      <c r="HM118" s="18"/>
      <c r="HN118" s="18"/>
      <c r="HO118" s="17"/>
      <c r="HP118" s="17"/>
      <c r="HQ118" s="17"/>
      <c r="HR118" s="17"/>
      <c r="HS118" s="17"/>
      <c r="HT118" s="17"/>
      <c r="HU118" s="17"/>
      <c r="HV118" s="17"/>
      <c r="HW118" s="22"/>
      <c r="HX118" s="17"/>
      <c r="HY118" s="16"/>
      <c r="HZ118" s="18"/>
      <c r="IA118" s="19"/>
      <c r="IB118" s="20"/>
      <c r="IC118" s="21"/>
      <c r="ID118" s="18"/>
      <c r="IE118" s="17"/>
      <c r="IF118" s="18"/>
      <c r="IG118" s="18"/>
      <c r="IH118" s="18"/>
      <c r="II118" s="17"/>
      <c r="IJ118" s="17"/>
      <c r="IK118" s="17"/>
      <c r="IL118" s="17"/>
      <c r="IM118" s="17"/>
    </row>
    <row r="119" spans="1:247" s="26" customFormat="1" ht="45" customHeight="1">
      <c r="A119" s="30">
        <v>105</v>
      </c>
      <c r="B119" s="49" t="s">
        <v>845</v>
      </c>
      <c r="C119" s="45" t="s">
        <v>38</v>
      </c>
      <c r="D119" s="46"/>
      <c r="E119" s="47">
        <v>60315</v>
      </c>
      <c r="F119" s="48">
        <v>4</v>
      </c>
      <c r="G119" s="49" t="s">
        <v>846</v>
      </c>
      <c r="H119" s="30" t="s">
        <v>847</v>
      </c>
      <c r="I119" s="45" t="s">
        <v>387</v>
      </c>
      <c r="J119" s="45" t="s">
        <v>848</v>
      </c>
      <c r="K119" s="50" t="str">
        <f>"00031142"</f>
        <v>00031142</v>
      </c>
      <c r="L119" s="28"/>
      <c r="M119" s="16"/>
      <c r="N119" s="18"/>
      <c r="O119" s="19"/>
      <c r="P119" s="20"/>
      <c r="Q119" s="21"/>
      <c r="R119" s="18"/>
      <c r="S119" s="17"/>
      <c r="T119" s="18"/>
      <c r="U119" s="18"/>
      <c r="V119" s="18"/>
      <c r="W119" s="17"/>
      <c r="X119" s="17"/>
      <c r="Y119" s="17"/>
      <c r="Z119" s="17"/>
      <c r="AA119" s="17"/>
      <c r="AB119" s="17"/>
      <c r="AC119" s="17"/>
      <c r="AD119" s="17"/>
      <c r="AE119" s="22"/>
      <c r="AF119" s="17"/>
      <c r="AG119" s="16"/>
      <c r="AH119" s="18"/>
      <c r="AI119" s="19"/>
      <c r="AJ119" s="20"/>
      <c r="AK119" s="21"/>
      <c r="AL119" s="18"/>
      <c r="AM119" s="17"/>
      <c r="AN119" s="18"/>
      <c r="AO119" s="18"/>
      <c r="AP119" s="18"/>
      <c r="AQ119" s="17"/>
      <c r="AR119" s="17"/>
      <c r="AS119" s="17"/>
      <c r="AT119" s="17"/>
      <c r="AU119" s="17"/>
      <c r="AV119" s="17"/>
      <c r="AW119" s="17"/>
      <c r="AX119" s="17"/>
      <c r="AY119" s="22"/>
      <c r="AZ119" s="17"/>
      <c r="BA119" s="16"/>
      <c r="BB119" s="18"/>
      <c r="BC119" s="19"/>
      <c r="BD119" s="20"/>
      <c r="BE119" s="21"/>
      <c r="BF119" s="18"/>
      <c r="BG119" s="17"/>
      <c r="BH119" s="18"/>
      <c r="BI119" s="18"/>
      <c r="BJ119" s="18"/>
      <c r="BK119" s="17"/>
      <c r="BL119" s="17"/>
      <c r="BM119" s="17"/>
      <c r="BN119" s="17"/>
      <c r="BO119" s="17"/>
      <c r="BP119" s="17"/>
      <c r="BQ119" s="17"/>
      <c r="BR119" s="17"/>
      <c r="BS119" s="22"/>
      <c r="BT119" s="17"/>
      <c r="BU119" s="16"/>
      <c r="BV119" s="18"/>
      <c r="BW119" s="19"/>
      <c r="BX119" s="20"/>
      <c r="BY119" s="21"/>
      <c r="BZ119" s="18"/>
      <c r="CA119" s="17"/>
      <c r="CB119" s="18"/>
      <c r="CC119" s="18"/>
      <c r="CD119" s="18"/>
      <c r="CE119" s="17"/>
      <c r="CF119" s="17"/>
      <c r="CG119" s="17"/>
      <c r="CH119" s="17"/>
      <c r="CI119" s="17"/>
      <c r="CJ119" s="17"/>
      <c r="CK119" s="17"/>
      <c r="CL119" s="17"/>
      <c r="CM119" s="22"/>
      <c r="CN119" s="17"/>
      <c r="CO119" s="16"/>
      <c r="CP119" s="18"/>
      <c r="CQ119" s="19"/>
      <c r="CR119" s="20"/>
      <c r="CS119" s="21"/>
      <c r="CT119" s="18"/>
      <c r="CU119" s="17"/>
      <c r="CV119" s="18"/>
      <c r="CW119" s="18"/>
      <c r="CX119" s="18"/>
      <c r="CY119" s="17"/>
      <c r="CZ119" s="17"/>
      <c r="DA119" s="17"/>
      <c r="DB119" s="17"/>
      <c r="DC119" s="17"/>
      <c r="DD119" s="17"/>
      <c r="DE119" s="17"/>
      <c r="DF119" s="17"/>
      <c r="DG119" s="22"/>
      <c r="DH119" s="17"/>
      <c r="DI119" s="16"/>
      <c r="DJ119" s="18"/>
      <c r="DK119" s="19"/>
      <c r="DL119" s="20"/>
      <c r="DM119" s="21"/>
      <c r="DN119" s="18"/>
      <c r="DO119" s="17"/>
      <c r="DP119" s="18"/>
      <c r="DQ119" s="18"/>
      <c r="DR119" s="18"/>
      <c r="DS119" s="17"/>
      <c r="DT119" s="17"/>
      <c r="DU119" s="17"/>
      <c r="DV119" s="17"/>
      <c r="DW119" s="17"/>
      <c r="DX119" s="17"/>
      <c r="DY119" s="17"/>
      <c r="DZ119" s="17"/>
      <c r="EA119" s="22"/>
      <c r="EB119" s="17"/>
      <c r="EC119" s="16"/>
      <c r="ED119" s="18"/>
      <c r="EE119" s="19"/>
      <c r="EF119" s="20"/>
      <c r="EG119" s="21"/>
      <c r="EH119" s="18"/>
      <c r="EI119" s="17"/>
      <c r="EJ119" s="18"/>
      <c r="EK119" s="18"/>
      <c r="EL119" s="18"/>
      <c r="EM119" s="17"/>
      <c r="EN119" s="17"/>
      <c r="EO119" s="17"/>
      <c r="EP119" s="17"/>
      <c r="EQ119" s="17"/>
      <c r="ER119" s="17"/>
      <c r="ES119" s="17"/>
      <c r="ET119" s="17"/>
      <c r="EU119" s="22"/>
      <c r="EV119" s="17"/>
      <c r="EW119" s="16"/>
      <c r="EX119" s="18"/>
      <c r="EY119" s="19"/>
      <c r="EZ119" s="20"/>
      <c r="FA119" s="21"/>
      <c r="FB119" s="18"/>
      <c r="FC119" s="17"/>
      <c r="FD119" s="18"/>
      <c r="FE119" s="18"/>
      <c r="FF119" s="18"/>
      <c r="FG119" s="17"/>
      <c r="FH119" s="17"/>
      <c r="FI119" s="17"/>
      <c r="FJ119" s="17"/>
      <c r="FK119" s="17"/>
      <c r="FL119" s="17"/>
      <c r="FM119" s="17"/>
      <c r="FN119" s="17"/>
      <c r="FO119" s="22"/>
      <c r="FP119" s="17"/>
      <c r="FQ119" s="16"/>
      <c r="FR119" s="18"/>
      <c r="FS119" s="19"/>
      <c r="FT119" s="20"/>
      <c r="FU119" s="21"/>
      <c r="FV119" s="18"/>
      <c r="FW119" s="17"/>
      <c r="FX119" s="18"/>
      <c r="FY119" s="18"/>
      <c r="FZ119" s="18"/>
      <c r="GA119" s="17"/>
      <c r="GB119" s="17"/>
      <c r="GC119" s="17"/>
      <c r="GD119" s="17"/>
      <c r="GE119" s="17"/>
      <c r="GF119" s="17"/>
      <c r="GG119" s="17"/>
      <c r="GH119" s="17"/>
      <c r="GI119" s="22"/>
      <c r="GJ119" s="17"/>
      <c r="GK119" s="16"/>
      <c r="GL119" s="18"/>
      <c r="GM119" s="19"/>
      <c r="GN119" s="20"/>
      <c r="GO119" s="21"/>
      <c r="GP119" s="18"/>
      <c r="GQ119" s="17"/>
      <c r="GR119" s="18"/>
      <c r="GS119" s="18"/>
      <c r="GT119" s="18"/>
      <c r="GU119" s="17"/>
      <c r="GV119" s="17"/>
      <c r="GW119" s="17"/>
      <c r="GX119" s="17"/>
      <c r="GY119" s="17"/>
      <c r="GZ119" s="17"/>
      <c r="HA119" s="17"/>
      <c r="HB119" s="17"/>
      <c r="HC119" s="22"/>
      <c r="HD119" s="17"/>
      <c r="HE119" s="16"/>
      <c r="HF119" s="18"/>
      <c r="HG119" s="19"/>
      <c r="HH119" s="20"/>
      <c r="HI119" s="21"/>
      <c r="HJ119" s="18"/>
      <c r="HK119" s="17"/>
      <c r="HL119" s="18"/>
      <c r="HM119" s="18"/>
      <c r="HN119" s="18"/>
      <c r="HO119" s="17"/>
      <c r="HP119" s="17"/>
      <c r="HQ119" s="17"/>
      <c r="HR119" s="17"/>
      <c r="HS119" s="17"/>
      <c r="HT119" s="17"/>
      <c r="HU119" s="17"/>
      <c r="HV119" s="17"/>
      <c r="HW119" s="22"/>
      <c r="HX119" s="17"/>
      <c r="HY119" s="16"/>
      <c r="HZ119" s="18"/>
      <c r="IA119" s="19"/>
      <c r="IB119" s="20"/>
      <c r="IC119" s="21"/>
      <c r="ID119" s="18"/>
      <c r="IE119" s="17"/>
      <c r="IF119" s="18"/>
      <c r="IG119" s="18"/>
      <c r="IH119" s="18"/>
      <c r="II119" s="17"/>
      <c r="IJ119" s="17"/>
      <c r="IK119" s="17"/>
      <c r="IL119" s="17"/>
      <c r="IM119" s="17"/>
    </row>
    <row r="120" spans="1:11" ht="45" customHeight="1">
      <c r="A120" s="30">
        <v>105</v>
      </c>
      <c r="B120" s="45" t="s">
        <v>221</v>
      </c>
      <c r="C120" s="45" t="s">
        <v>38</v>
      </c>
      <c r="D120" s="46"/>
      <c r="E120" s="47">
        <v>2958</v>
      </c>
      <c r="F120" s="48">
        <v>4</v>
      </c>
      <c r="G120" s="45" t="s">
        <v>868</v>
      </c>
      <c r="H120" s="30" t="s">
        <v>869</v>
      </c>
      <c r="I120" s="45" t="s">
        <v>92</v>
      </c>
      <c r="J120" s="45" t="s">
        <v>156</v>
      </c>
      <c r="K120" s="61" t="s">
        <v>5987</v>
      </c>
    </row>
    <row r="121" spans="1:11" ht="45" customHeight="1">
      <c r="A121" s="30">
        <v>105</v>
      </c>
      <c r="B121" s="45" t="s">
        <v>854</v>
      </c>
      <c r="C121" s="45" t="s">
        <v>38</v>
      </c>
      <c r="D121" s="46"/>
      <c r="E121" s="47">
        <v>82551</v>
      </c>
      <c r="F121" s="48">
        <v>4</v>
      </c>
      <c r="G121" s="45" t="s">
        <v>997</v>
      </c>
      <c r="H121" s="30" t="s">
        <v>998</v>
      </c>
      <c r="I121" s="45" t="s">
        <v>116</v>
      </c>
      <c r="J121" s="45" t="s">
        <v>999</v>
      </c>
      <c r="K121" s="61" t="s">
        <v>5988</v>
      </c>
    </row>
    <row r="122" spans="1:11" ht="45" customHeight="1">
      <c r="A122" s="30">
        <v>105</v>
      </c>
      <c r="B122" s="45" t="s">
        <v>252</v>
      </c>
      <c r="C122" s="45" t="s">
        <v>38</v>
      </c>
      <c r="D122" s="46"/>
      <c r="E122" s="47">
        <v>85000</v>
      </c>
      <c r="F122" s="48">
        <v>4</v>
      </c>
      <c r="G122" s="45" t="s">
        <v>868</v>
      </c>
      <c r="H122" s="30" t="s">
        <v>869</v>
      </c>
      <c r="I122" s="45" t="s">
        <v>92</v>
      </c>
      <c r="J122" s="45" t="s">
        <v>156</v>
      </c>
      <c r="K122" s="61" t="s">
        <v>5987</v>
      </c>
    </row>
    <row r="123" spans="1:11" ht="45" customHeight="1">
      <c r="A123" s="30">
        <v>105</v>
      </c>
      <c r="B123" s="45" t="s">
        <v>989</v>
      </c>
      <c r="C123" s="45" t="s">
        <v>38</v>
      </c>
      <c r="D123" s="46"/>
      <c r="E123" s="47">
        <v>47171</v>
      </c>
      <c r="F123" s="48">
        <v>4</v>
      </c>
      <c r="G123" s="51" t="s">
        <v>990</v>
      </c>
      <c r="H123" s="30" t="s">
        <v>991</v>
      </c>
      <c r="I123" s="45" t="s">
        <v>92</v>
      </c>
      <c r="J123" s="45" t="s">
        <v>355</v>
      </c>
      <c r="K123" s="50" t="str">
        <f>"00030724"</f>
        <v>00030724</v>
      </c>
    </row>
    <row r="124" spans="1:11" ht="45" customHeight="1">
      <c r="A124" s="30">
        <v>105</v>
      </c>
      <c r="B124" s="45" t="s">
        <v>239</v>
      </c>
      <c r="C124" s="45" t="s">
        <v>38</v>
      </c>
      <c r="D124" s="46"/>
      <c r="E124" s="47">
        <v>75416</v>
      </c>
      <c r="F124" s="48">
        <v>4</v>
      </c>
      <c r="G124" s="45" t="s">
        <v>857</v>
      </c>
      <c r="H124" s="30" t="s">
        <v>992</v>
      </c>
      <c r="I124" s="45" t="s">
        <v>100</v>
      </c>
      <c r="J124" s="45" t="s">
        <v>178</v>
      </c>
      <c r="K124" s="61" t="s">
        <v>5989</v>
      </c>
    </row>
    <row r="125" spans="1:11" ht="45" customHeight="1">
      <c r="A125" s="30">
        <v>105</v>
      </c>
      <c r="B125" s="45" t="s">
        <v>237</v>
      </c>
      <c r="C125" s="45" t="s">
        <v>38</v>
      </c>
      <c r="D125" s="46"/>
      <c r="E125" s="47">
        <v>38637</v>
      </c>
      <c r="F125" s="48">
        <v>4</v>
      </c>
      <c r="G125" s="45" t="s">
        <v>852</v>
      </c>
      <c r="H125" s="30" t="s">
        <v>853</v>
      </c>
      <c r="I125" s="45" t="s">
        <v>120</v>
      </c>
      <c r="J125" s="45" t="s">
        <v>120</v>
      </c>
      <c r="K125" s="61" t="s">
        <v>5990</v>
      </c>
    </row>
    <row r="126" spans="1:11" ht="45" customHeight="1">
      <c r="A126" s="30">
        <v>105</v>
      </c>
      <c r="B126" s="49" t="s">
        <v>224</v>
      </c>
      <c r="C126" s="45" t="s">
        <v>38</v>
      </c>
      <c r="D126" s="46"/>
      <c r="E126" s="47">
        <v>47219</v>
      </c>
      <c r="F126" s="48">
        <v>4</v>
      </c>
      <c r="G126" s="45" t="s">
        <v>993</v>
      </c>
      <c r="H126" s="30" t="s">
        <v>994</v>
      </c>
      <c r="I126" s="45" t="s">
        <v>100</v>
      </c>
      <c r="J126" s="45" t="s">
        <v>635</v>
      </c>
      <c r="K126" s="61" t="s">
        <v>5991</v>
      </c>
    </row>
    <row r="127" spans="1:11" ht="45" customHeight="1">
      <c r="A127" s="30">
        <v>105</v>
      </c>
      <c r="B127" s="51" t="s">
        <v>3</v>
      </c>
      <c r="C127" s="45" t="s">
        <v>38</v>
      </c>
      <c r="D127" s="46"/>
      <c r="E127" s="47">
        <v>80767</v>
      </c>
      <c r="F127" s="48">
        <v>4</v>
      </c>
      <c r="G127" s="49" t="s">
        <v>995</v>
      </c>
      <c r="H127" s="30" t="s">
        <v>996</v>
      </c>
      <c r="I127" s="45" t="s">
        <v>222</v>
      </c>
      <c r="J127" s="45" t="s">
        <v>223</v>
      </c>
      <c r="K127" s="61" t="s">
        <v>5992</v>
      </c>
    </row>
    <row r="128" spans="1:11" ht="45" customHeight="1">
      <c r="A128" s="30">
        <v>105</v>
      </c>
      <c r="B128" s="45" t="s">
        <v>242</v>
      </c>
      <c r="C128" s="45" t="s">
        <v>38</v>
      </c>
      <c r="D128" s="46"/>
      <c r="E128" s="47">
        <v>89537</v>
      </c>
      <c r="F128" s="48">
        <v>4</v>
      </c>
      <c r="G128" s="53" t="s">
        <v>1021</v>
      </c>
      <c r="H128" s="30" t="s">
        <v>1022</v>
      </c>
      <c r="I128" s="45" t="s">
        <v>107</v>
      </c>
      <c r="J128" s="49" t="s">
        <v>1023</v>
      </c>
      <c r="K128" s="61" t="s">
        <v>5993</v>
      </c>
    </row>
    <row r="129" spans="1:11" ht="45" customHeight="1">
      <c r="A129" s="30">
        <v>105</v>
      </c>
      <c r="B129" s="45" t="s">
        <v>1019</v>
      </c>
      <c r="C129" s="45" t="s">
        <v>38</v>
      </c>
      <c r="D129" s="46"/>
      <c r="E129" s="47">
        <v>43903</v>
      </c>
      <c r="F129" s="48">
        <v>4</v>
      </c>
      <c r="G129" s="45" t="s">
        <v>1020</v>
      </c>
      <c r="H129" s="30" t="s">
        <v>955</v>
      </c>
      <c r="I129" s="45" t="s">
        <v>222</v>
      </c>
      <c r="J129" s="45" t="s">
        <v>223</v>
      </c>
      <c r="K129" s="61" t="s">
        <v>5946</v>
      </c>
    </row>
    <row r="130" spans="1:11" ht="45" customHeight="1">
      <c r="A130" s="30">
        <v>105</v>
      </c>
      <c r="B130" s="45" t="s">
        <v>242</v>
      </c>
      <c r="C130" s="45" t="s">
        <v>38</v>
      </c>
      <c r="D130" s="46"/>
      <c r="E130" s="47">
        <v>60455</v>
      </c>
      <c r="F130" s="48">
        <v>4</v>
      </c>
      <c r="G130" s="49" t="s">
        <v>5569</v>
      </c>
      <c r="H130" s="30" t="s">
        <v>5570</v>
      </c>
      <c r="I130" s="45" t="s">
        <v>96</v>
      </c>
      <c r="J130" s="45" t="s">
        <v>97</v>
      </c>
      <c r="K130" s="61" t="s">
        <v>5994</v>
      </c>
    </row>
    <row r="131" spans="1:11" ht="45" customHeight="1">
      <c r="A131" s="30">
        <v>105</v>
      </c>
      <c r="B131" s="45" t="s">
        <v>242</v>
      </c>
      <c r="C131" s="45" t="s">
        <v>38</v>
      </c>
      <c r="D131" s="46"/>
      <c r="E131" s="47">
        <v>90253</v>
      </c>
      <c r="F131" s="48">
        <v>4</v>
      </c>
      <c r="G131" s="53" t="s">
        <v>1017</v>
      </c>
      <c r="H131" s="30" t="s">
        <v>1018</v>
      </c>
      <c r="I131" s="45" t="s">
        <v>304</v>
      </c>
      <c r="J131" s="45" t="s">
        <v>524</v>
      </c>
      <c r="K131" s="61" t="s">
        <v>5995</v>
      </c>
    </row>
    <row r="132" spans="1:247" s="26" customFormat="1" ht="45" customHeight="1">
      <c r="A132" s="30">
        <v>105</v>
      </c>
      <c r="B132" s="45" t="s">
        <v>5929</v>
      </c>
      <c r="C132" s="45" t="s">
        <v>38</v>
      </c>
      <c r="D132" s="46"/>
      <c r="E132" s="47">
        <v>80000</v>
      </c>
      <c r="F132" s="48">
        <v>4</v>
      </c>
      <c r="G132" s="45" t="s">
        <v>5930</v>
      </c>
      <c r="H132" s="30" t="s">
        <v>5931</v>
      </c>
      <c r="I132" s="45" t="s">
        <v>98</v>
      </c>
      <c r="J132" s="45" t="s">
        <v>909</v>
      </c>
      <c r="K132" s="61" t="s">
        <v>5996</v>
      </c>
      <c r="L132" s="17"/>
      <c r="M132" s="16"/>
      <c r="N132" s="18"/>
      <c r="O132" s="19"/>
      <c r="P132" s="20"/>
      <c r="Q132" s="21"/>
      <c r="R132" s="18"/>
      <c r="S132" s="17"/>
      <c r="T132" s="18"/>
      <c r="U132" s="18"/>
      <c r="V132" s="18"/>
      <c r="W132" s="17"/>
      <c r="X132" s="17"/>
      <c r="Y132" s="17"/>
      <c r="Z132" s="17"/>
      <c r="AA132" s="17"/>
      <c r="AB132" s="17"/>
      <c r="AC132" s="17"/>
      <c r="AD132" s="17"/>
      <c r="AE132" s="22"/>
      <c r="AF132" s="17"/>
      <c r="AG132" s="16"/>
      <c r="AH132" s="18"/>
      <c r="AI132" s="19"/>
      <c r="AJ132" s="20"/>
      <c r="AK132" s="21"/>
      <c r="AL132" s="18"/>
      <c r="AM132" s="17"/>
      <c r="AN132" s="18"/>
      <c r="AO132" s="18"/>
      <c r="AP132" s="18"/>
      <c r="AQ132" s="17"/>
      <c r="AR132" s="17"/>
      <c r="AS132" s="17"/>
      <c r="AT132" s="17"/>
      <c r="AU132" s="17"/>
      <c r="AV132" s="17"/>
      <c r="AW132" s="17"/>
      <c r="AX132" s="17"/>
      <c r="AY132" s="22"/>
      <c r="AZ132" s="17"/>
      <c r="BA132" s="16"/>
      <c r="BB132" s="18"/>
      <c r="BC132" s="19"/>
      <c r="BD132" s="20"/>
      <c r="BE132" s="21"/>
      <c r="BF132" s="18"/>
      <c r="BG132" s="17"/>
      <c r="BH132" s="18"/>
      <c r="BI132" s="18"/>
      <c r="BJ132" s="18"/>
      <c r="BK132" s="17"/>
      <c r="BL132" s="17"/>
      <c r="BM132" s="17"/>
      <c r="BN132" s="17"/>
      <c r="BO132" s="17"/>
      <c r="BP132" s="17"/>
      <c r="BQ132" s="17"/>
      <c r="BR132" s="17"/>
      <c r="BS132" s="22"/>
      <c r="BT132" s="17"/>
      <c r="BU132" s="16"/>
      <c r="BV132" s="18"/>
      <c r="BW132" s="19"/>
      <c r="BX132" s="20"/>
      <c r="BY132" s="21"/>
      <c r="BZ132" s="18"/>
      <c r="CA132" s="17"/>
      <c r="CB132" s="18"/>
      <c r="CC132" s="18"/>
      <c r="CD132" s="18"/>
      <c r="CE132" s="17"/>
      <c r="CF132" s="17"/>
      <c r="CG132" s="17"/>
      <c r="CH132" s="17"/>
      <c r="CI132" s="17"/>
      <c r="CJ132" s="17"/>
      <c r="CK132" s="17"/>
      <c r="CL132" s="17"/>
      <c r="CM132" s="22"/>
      <c r="CN132" s="17"/>
      <c r="CO132" s="16"/>
      <c r="CP132" s="18"/>
      <c r="CQ132" s="19"/>
      <c r="CR132" s="20"/>
      <c r="CS132" s="21"/>
      <c r="CT132" s="18"/>
      <c r="CU132" s="17"/>
      <c r="CV132" s="18"/>
      <c r="CW132" s="18"/>
      <c r="CX132" s="18"/>
      <c r="CY132" s="17"/>
      <c r="CZ132" s="17"/>
      <c r="DA132" s="17"/>
      <c r="DB132" s="17"/>
      <c r="DC132" s="17"/>
      <c r="DD132" s="17"/>
      <c r="DE132" s="17"/>
      <c r="DF132" s="17"/>
      <c r="DG132" s="22"/>
      <c r="DH132" s="17"/>
      <c r="DI132" s="16"/>
      <c r="DJ132" s="18"/>
      <c r="DK132" s="19"/>
      <c r="DL132" s="20"/>
      <c r="DM132" s="21"/>
      <c r="DN132" s="18"/>
      <c r="DO132" s="17"/>
      <c r="DP132" s="18"/>
      <c r="DQ132" s="18"/>
      <c r="DR132" s="18"/>
      <c r="DS132" s="17"/>
      <c r="DT132" s="17"/>
      <c r="DU132" s="17"/>
      <c r="DV132" s="17"/>
      <c r="DW132" s="17"/>
      <c r="DX132" s="17"/>
      <c r="DY132" s="17"/>
      <c r="DZ132" s="17"/>
      <c r="EA132" s="22"/>
      <c r="EB132" s="17"/>
      <c r="EC132" s="16"/>
      <c r="ED132" s="18"/>
      <c r="EE132" s="19"/>
      <c r="EF132" s="20"/>
      <c r="EG132" s="21"/>
      <c r="EH132" s="18"/>
      <c r="EI132" s="17"/>
      <c r="EJ132" s="18"/>
      <c r="EK132" s="18"/>
      <c r="EL132" s="18"/>
      <c r="EM132" s="17"/>
      <c r="EN132" s="17"/>
      <c r="EO132" s="17"/>
      <c r="EP132" s="17"/>
      <c r="EQ132" s="17"/>
      <c r="ER132" s="17"/>
      <c r="ES132" s="17"/>
      <c r="ET132" s="17"/>
      <c r="EU132" s="22"/>
      <c r="EV132" s="17"/>
      <c r="EW132" s="16"/>
      <c r="EX132" s="18"/>
      <c r="EY132" s="19"/>
      <c r="EZ132" s="20"/>
      <c r="FA132" s="21"/>
      <c r="FB132" s="18"/>
      <c r="FC132" s="17"/>
      <c r="FD132" s="18"/>
      <c r="FE132" s="18"/>
      <c r="FF132" s="18"/>
      <c r="FG132" s="17"/>
      <c r="FH132" s="17"/>
      <c r="FI132" s="17"/>
      <c r="FJ132" s="17"/>
      <c r="FK132" s="17"/>
      <c r="FL132" s="17"/>
      <c r="FM132" s="17"/>
      <c r="FN132" s="17"/>
      <c r="FO132" s="22"/>
      <c r="FP132" s="17"/>
      <c r="FQ132" s="16"/>
      <c r="FR132" s="18"/>
      <c r="FS132" s="19"/>
      <c r="FT132" s="20"/>
      <c r="FU132" s="21"/>
      <c r="FV132" s="18"/>
      <c r="FW132" s="17"/>
      <c r="FX132" s="18"/>
      <c r="FY132" s="18"/>
      <c r="FZ132" s="18"/>
      <c r="GA132" s="17"/>
      <c r="GB132" s="17"/>
      <c r="GC132" s="17"/>
      <c r="GD132" s="17"/>
      <c r="GE132" s="17"/>
      <c r="GF132" s="17"/>
      <c r="GG132" s="17"/>
      <c r="GH132" s="17"/>
      <c r="GI132" s="22"/>
      <c r="GJ132" s="17"/>
      <c r="GK132" s="16"/>
      <c r="GL132" s="18"/>
      <c r="GM132" s="19"/>
      <c r="GN132" s="20"/>
      <c r="GO132" s="21"/>
      <c r="GP132" s="18"/>
      <c r="GQ132" s="17"/>
      <c r="GR132" s="18"/>
      <c r="GS132" s="18"/>
      <c r="GT132" s="18"/>
      <c r="GU132" s="17"/>
      <c r="GV132" s="17"/>
      <c r="GW132" s="17"/>
      <c r="GX132" s="17"/>
      <c r="GY132" s="17"/>
      <c r="GZ132" s="17"/>
      <c r="HA132" s="17"/>
      <c r="HB132" s="17"/>
      <c r="HC132" s="22"/>
      <c r="HD132" s="17"/>
      <c r="HE132" s="16"/>
      <c r="HF132" s="18"/>
      <c r="HG132" s="19"/>
      <c r="HH132" s="20"/>
      <c r="HI132" s="21"/>
      <c r="HJ132" s="18"/>
      <c r="HK132" s="17"/>
      <c r="HL132" s="18"/>
      <c r="HM132" s="18"/>
      <c r="HN132" s="18"/>
      <c r="HO132" s="17"/>
      <c r="HP132" s="17"/>
      <c r="HQ132" s="17"/>
      <c r="HR132" s="17"/>
      <c r="HS132" s="17"/>
      <c r="HT132" s="17"/>
      <c r="HU132" s="17"/>
      <c r="HV132" s="17"/>
      <c r="HW132" s="22"/>
      <c r="HX132" s="17"/>
      <c r="HY132" s="16"/>
      <c r="HZ132" s="18"/>
      <c r="IA132" s="19"/>
      <c r="IB132" s="20"/>
      <c r="IC132" s="21"/>
      <c r="ID132" s="18"/>
      <c r="IE132" s="17"/>
      <c r="IF132" s="18"/>
      <c r="IG132" s="18"/>
      <c r="IH132" s="18"/>
      <c r="II132" s="17"/>
      <c r="IJ132" s="17"/>
      <c r="IK132" s="17"/>
      <c r="IL132" s="17"/>
      <c r="IM132" s="17"/>
    </row>
    <row r="133" spans="1:247" s="26" customFormat="1" ht="45" customHeight="1">
      <c r="A133" s="30">
        <v>105</v>
      </c>
      <c r="B133" s="45" t="s">
        <v>242</v>
      </c>
      <c r="C133" s="45" t="s">
        <v>38</v>
      </c>
      <c r="D133" s="46"/>
      <c r="E133" s="47">
        <v>112324</v>
      </c>
      <c r="F133" s="48">
        <v>4</v>
      </c>
      <c r="G133" s="51" t="s">
        <v>5571</v>
      </c>
      <c r="H133" s="30" t="s">
        <v>888</v>
      </c>
      <c r="I133" s="49" t="s">
        <v>1015</v>
      </c>
      <c r="J133" s="49" t="s">
        <v>1016</v>
      </c>
      <c r="K133" s="61" t="s">
        <v>5997</v>
      </c>
      <c r="L133" s="17"/>
      <c r="M133" s="16"/>
      <c r="N133" s="18"/>
      <c r="O133" s="19"/>
      <c r="P133" s="20"/>
      <c r="Q133" s="21"/>
      <c r="R133" s="18"/>
      <c r="S133" s="17"/>
      <c r="T133" s="18"/>
      <c r="U133" s="18"/>
      <c r="V133" s="18"/>
      <c r="W133" s="17"/>
      <c r="X133" s="17"/>
      <c r="Y133" s="17"/>
      <c r="Z133" s="17"/>
      <c r="AA133" s="17"/>
      <c r="AB133" s="17"/>
      <c r="AC133" s="17"/>
      <c r="AD133" s="17"/>
      <c r="AE133" s="22"/>
      <c r="AF133" s="17"/>
      <c r="AG133" s="16"/>
      <c r="AH133" s="18"/>
      <c r="AI133" s="19"/>
      <c r="AJ133" s="20"/>
      <c r="AK133" s="21"/>
      <c r="AL133" s="18"/>
      <c r="AM133" s="17"/>
      <c r="AN133" s="18"/>
      <c r="AO133" s="18"/>
      <c r="AP133" s="18"/>
      <c r="AQ133" s="17"/>
      <c r="AR133" s="17"/>
      <c r="AS133" s="17"/>
      <c r="AT133" s="17"/>
      <c r="AU133" s="17"/>
      <c r="AV133" s="17"/>
      <c r="AW133" s="17"/>
      <c r="AX133" s="17"/>
      <c r="AY133" s="22"/>
      <c r="AZ133" s="17"/>
      <c r="BA133" s="16"/>
      <c r="BB133" s="18"/>
      <c r="BC133" s="19"/>
      <c r="BD133" s="20"/>
      <c r="BE133" s="21"/>
      <c r="BF133" s="18"/>
      <c r="BG133" s="17"/>
      <c r="BH133" s="18"/>
      <c r="BI133" s="18"/>
      <c r="BJ133" s="18"/>
      <c r="BK133" s="17"/>
      <c r="BL133" s="17"/>
      <c r="BM133" s="17"/>
      <c r="BN133" s="17"/>
      <c r="BO133" s="17"/>
      <c r="BP133" s="17"/>
      <c r="BQ133" s="17"/>
      <c r="BR133" s="17"/>
      <c r="BS133" s="22"/>
      <c r="BT133" s="17"/>
      <c r="BU133" s="16"/>
      <c r="BV133" s="18"/>
      <c r="BW133" s="19"/>
      <c r="BX133" s="20"/>
      <c r="BY133" s="21"/>
      <c r="BZ133" s="18"/>
      <c r="CA133" s="17"/>
      <c r="CB133" s="18"/>
      <c r="CC133" s="18"/>
      <c r="CD133" s="18"/>
      <c r="CE133" s="17"/>
      <c r="CF133" s="17"/>
      <c r="CG133" s="17"/>
      <c r="CH133" s="17"/>
      <c r="CI133" s="17"/>
      <c r="CJ133" s="17"/>
      <c r="CK133" s="17"/>
      <c r="CL133" s="17"/>
      <c r="CM133" s="22"/>
      <c r="CN133" s="17"/>
      <c r="CO133" s="16"/>
      <c r="CP133" s="18"/>
      <c r="CQ133" s="19"/>
      <c r="CR133" s="20"/>
      <c r="CS133" s="21"/>
      <c r="CT133" s="18"/>
      <c r="CU133" s="17"/>
      <c r="CV133" s="18"/>
      <c r="CW133" s="18"/>
      <c r="CX133" s="18"/>
      <c r="CY133" s="17"/>
      <c r="CZ133" s="17"/>
      <c r="DA133" s="17"/>
      <c r="DB133" s="17"/>
      <c r="DC133" s="17"/>
      <c r="DD133" s="17"/>
      <c r="DE133" s="17"/>
      <c r="DF133" s="17"/>
      <c r="DG133" s="22"/>
      <c r="DH133" s="17"/>
      <c r="DI133" s="16"/>
      <c r="DJ133" s="18"/>
      <c r="DK133" s="19"/>
      <c r="DL133" s="20"/>
      <c r="DM133" s="21"/>
      <c r="DN133" s="18"/>
      <c r="DO133" s="17"/>
      <c r="DP133" s="18"/>
      <c r="DQ133" s="18"/>
      <c r="DR133" s="18"/>
      <c r="DS133" s="17"/>
      <c r="DT133" s="17"/>
      <c r="DU133" s="17"/>
      <c r="DV133" s="17"/>
      <c r="DW133" s="17"/>
      <c r="DX133" s="17"/>
      <c r="DY133" s="17"/>
      <c r="DZ133" s="17"/>
      <c r="EA133" s="22"/>
      <c r="EB133" s="17"/>
      <c r="EC133" s="16"/>
      <c r="ED133" s="18"/>
      <c r="EE133" s="19"/>
      <c r="EF133" s="20"/>
      <c r="EG133" s="21"/>
      <c r="EH133" s="18"/>
      <c r="EI133" s="17"/>
      <c r="EJ133" s="18"/>
      <c r="EK133" s="18"/>
      <c r="EL133" s="18"/>
      <c r="EM133" s="17"/>
      <c r="EN133" s="17"/>
      <c r="EO133" s="17"/>
      <c r="EP133" s="17"/>
      <c r="EQ133" s="17"/>
      <c r="ER133" s="17"/>
      <c r="ES133" s="17"/>
      <c r="ET133" s="17"/>
      <c r="EU133" s="22"/>
      <c r="EV133" s="17"/>
      <c r="EW133" s="16"/>
      <c r="EX133" s="18"/>
      <c r="EY133" s="19"/>
      <c r="EZ133" s="20"/>
      <c r="FA133" s="21"/>
      <c r="FB133" s="18"/>
      <c r="FC133" s="17"/>
      <c r="FD133" s="18"/>
      <c r="FE133" s="18"/>
      <c r="FF133" s="18"/>
      <c r="FG133" s="17"/>
      <c r="FH133" s="17"/>
      <c r="FI133" s="17"/>
      <c r="FJ133" s="17"/>
      <c r="FK133" s="17"/>
      <c r="FL133" s="17"/>
      <c r="FM133" s="17"/>
      <c r="FN133" s="17"/>
      <c r="FO133" s="22"/>
      <c r="FP133" s="17"/>
      <c r="FQ133" s="16"/>
      <c r="FR133" s="18"/>
      <c r="FS133" s="19"/>
      <c r="FT133" s="20"/>
      <c r="FU133" s="21"/>
      <c r="FV133" s="18"/>
      <c r="FW133" s="17"/>
      <c r="FX133" s="18"/>
      <c r="FY133" s="18"/>
      <c r="FZ133" s="18"/>
      <c r="GA133" s="17"/>
      <c r="GB133" s="17"/>
      <c r="GC133" s="17"/>
      <c r="GD133" s="17"/>
      <c r="GE133" s="17"/>
      <c r="GF133" s="17"/>
      <c r="GG133" s="17"/>
      <c r="GH133" s="17"/>
      <c r="GI133" s="22"/>
      <c r="GJ133" s="17"/>
      <c r="GK133" s="16"/>
      <c r="GL133" s="18"/>
      <c r="GM133" s="19"/>
      <c r="GN133" s="20"/>
      <c r="GO133" s="21"/>
      <c r="GP133" s="18"/>
      <c r="GQ133" s="17"/>
      <c r="GR133" s="18"/>
      <c r="GS133" s="18"/>
      <c r="GT133" s="18"/>
      <c r="GU133" s="17"/>
      <c r="GV133" s="17"/>
      <c r="GW133" s="17"/>
      <c r="GX133" s="17"/>
      <c r="GY133" s="17"/>
      <c r="GZ133" s="17"/>
      <c r="HA133" s="17"/>
      <c r="HB133" s="17"/>
      <c r="HC133" s="22"/>
      <c r="HD133" s="17"/>
      <c r="HE133" s="16"/>
      <c r="HF133" s="18"/>
      <c r="HG133" s="19"/>
      <c r="HH133" s="20"/>
      <c r="HI133" s="21"/>
      <c r="HJ133" s="18"/>
      <c r="HK133" s="17"/>
      <c r="HL133" s="18"/>
      <c r="HM133" s="18"/>
      <c r="HN133" s="18"/>
      <c r="HO133" s="17"/>
      <c r="HP133" s="17"/>
      <c r="HQ133" s="17"/>
      <c r="HR133" s="17"/>
      <c r="HS133" s="17"/>
      <c r="HT133" s="17"/>
      <c r="HU133" s="17"/>
      <c r="HV133" s="17"/>
      <c r="HW133" s="22"/>
      <c r="HX133" s="17"/>
      <c r="HY133" s="16"/>
      <c r="HZ133" s="18"/>
      <c r="IA133" s="19"/>
      <c r="IB133" s="20"/>
      <c r="IC133" s="21"/>
      <c r="ID133" s="18"/>
      <c r="IE133" s="17"/>
      <c r="IF133" s="18"/>
      <c r="IG133" s="18"/>
      <c r="IH133" s="18"/>
      <c r="II133" s="17"/>
      <c r="IJ133" s="17"/>
      <c r="IK133" s="17"/>
      <c r="IL133" s="17"/>
      <c r="IM133" s="17"/>
    </row>
    <row r="134" spans="1:11" ht="45" customHeight="1">
      <c r="A134" s="30">
        <v>105</v>
      </c>
      <c r="B134" s="45" t="s">
        <v>242</v>
      </c>
      <c r="C134" s="45" t="s">
        <v>38</v>
      </c>
      <c r="D134" s="46"/>
      <c r="E134" s="47">
        <v>6134</v>
      </c>
      <c r="F134" s="48">
        <v>4</v>
      </c>
      <c r="G134" s="45" t="s">
        <v>5572</v>
      </c>
      <c r="H134" s="30" t="s">
        <v>1014</v>
      </c>
      <c r="I134" s="45" t="s">
        <v>92</v>
      </c>
      <c r="J134" s="45" t="s">
        <v>325</v>
      </c>
      <c r="K134" s="61" t="s">
        <v>5998</v>
      </c>
    </row>
    <row r="135" spans="1:11" ht="45" customHeight="1">
      <c r="A135" s="30">
        <v>105</v>
      </c>
      <c r="B135" s="45" t="s">
        <v>5573</v>
      </c>
      <c r="C135" s="45" t="s">
        <v>38</v>
      </c>
      <c r="D135" s="46"/>
      <c r="E135" s="47">
        <v>22308</v>
      </c>
      <c r="F135" s="48">
        <v>4</v>
      </c>
      <c r="G135" s="45" t="s">
        <v>5574</v>
      </c>
      <c r="H135" s="30" t="s">
        <v>897</v>
      </c>
      <c r="I135" s="45" t="s">
        <v>100</v>
      </c>
      <c r="J135" s="45" t="s">
        <v>880</v>
      </c>
      <c r="K135" s="50" t="str">
        <f>"00028334"</f>
        <v>00028334</v>
      </c>
    </row>
    <row r="136" spans="1:11" ht="45" customHeight="1">
      <c r="A136" s="30">
        <v>105</v>
      </c>
      <c r="B136" s="45" t="s">
        <v>5573</v>
      </c>
      <c r="C136" s="45" t="s">
        <v>38</v>
      </c>
      <c r="D136" s="46"/>
      <c r="E136" s="47">
        <v>35101</v>
      </c>
      <c r="F136" s="48">
        <v>4</v>
      </c>
      <c r="G136" s="51" t="s">
        <v>5575</v>
      </c>
      <c r="H136" s="30" t="s">
        <v>5576</v>
      </c>
      <c r="I136" s="45" t="s">
        <v>107</v>
      </c>
      <c r="J136" s="45" t="s">
        <v>969</v>
      </c>
      <c r="K136" s="50" t="str">
        <f>"00031185"</f>
        <v>00031185</v>
      </c>
    </row>
    <row r="137" spans="1:11" ht="45" customHeight="1">
      <c r="A137" s="30">
        <v>105</v>
      </c>
      <c r="B137" s="45" t="s">
        <v>5577</v>
      </c>
      <c r="C137" s="45" t="s">
        <v>38</v>
      </c>
      <c r="D137" s="46"/>
      <c r="E137" s="47">
        <v>45944</v>
      </c>
      <c r="F137" s="48">
        <v>4</v>
      </c>
      <c r="G137" s="49" t="s">
        <v>5578</v>
      </c>
      <c r="H137" s="30" t="s">
        <v>5579</v>
      </c>
      <c r="I137" s="45" t="s">
        <v>92</v>
      </c>
      <c r="J137" s="45" t="s">
        <v>5580</v>
      </c>
      <c r="K137" s="50" t="str">
        <f>"00029059"</f>
        <v>00029059</v>
      </c>
    </row>
    <row r="138" spans="1:11" ht="45" customHeight="1">
      <c r="A138" s="30">
        <v>105</v>
      </c>
      <c r="B138" s="45" t="s">
        <v>5581</v>
      </c>
      <c r="C138" s="45" t="s">
        <v>38</v>
      </c>
      <c r="D138" s="46"/>
      <c r="E138" s="47">
        <v>258638</v>
      </c>
      <c r="F138" s="48">
        <v>4</v>
      </c>
      <c r="G138" s="45" t="s">
        <v>5582</v>
      </c>
      <c r="H138" s="30" t="s">
        <v>5583</v>
      </c>
      <c r="I138" s="45" t="s">
        <v>5584</v>
      </c>
      <c r="J138" s="45" t="s">
        <v>5585</v>
      </c>
      <c r="K138" s="50" t="str">
        <f>"00031401"</f>
        <v>00031401</v>
      </c>
    </row>
    <row r="139" spans="1:11" ht="45" customHeight="1">
      <c r="A139" s="30">
        <v>105</v>
      </c>
      <c r="B139" s="45" t="s">
        <v>259</v>
      </c>
      <c r="C139" s="45" t="s">
        <v>38</v>
      </c>
      <c r="D139" s="46"/>
      <c r="E139" s="47">
        <v>4673</v>
      </c>
      <c r="F139" s="48">
        <v>4</v>
      </c>
      <c r="G139" s="45" t="s">
        <v>259</v>
      </c>
      <c r="H139" s="30" t="s">
        <v>939</v>
      </c>
      <c r="I139" s="45" t="s">
        <v>116</v>
      </c>
      <c r="J139" s="45" t="s">
        <v>48</v>
      </c>
      <c r="K139" s="50" t="str">
        <f>"00025860"</f>
        <v>00025860</v>
      </c>
    </row>
    <row r="140" spans="1:11" ht="45" customHeight="1">
      <c r="A140" s="30">
        <v>105</v>
      </c>
      <c r="B140" s="45" t="s">
        <v>2096</v>
      </c>
      <c r="C140" s="45" t="s">
        <v>1</v>
      </c>
      <c r="D140" s="46"/>
      <c r="E140" s="47">
        <v>10914</v>
      </c>
      <c r="F140" s="48">
        <v>4</v>
      </c>
      <c r="G140" s="45" t="s">
        <v>5932</v>
      </c>
      <c r="H140" s="30" t="s">
        <v>5933</v>
      </c>
      <c r="I140" s="45" t="s">
        <v>42</v>
      </c>
      <c r="J140" s="45" t="s">
        <v>2623</v>
      </c>
      <c r="K140" s="64" t="s">
        <v>5999</v>
      </c>
    </row>
    <row r="141" spans="1:11" ht="45" customHeight="1">
      <c r="A141" s="30">
        <v>105</v>
      </c>
      <c r="B141" s="45" t="s">
        <v>252</v>
      </c>
      <c r="C141" s="45" t="s">
        <v>1</v>
      </c>
      <c r="D141" s="46"/>
      <c r="E141" s="47">
        <v>64329</v>
      </c>
      <c r="F141" s="48">
        <v>4</v>
      </c>
      <c r="G141" s="45" t="s">
        <v>5935</v>
      </c>
      <c r="H141" s="30" t="s">
        <v>5936</v>
      </c>
      <c r="I141" s="45" t="s">
        <v>40</v>
      </c>
      <c r="J141" s="45" t="s">
        <v>125</v>
      </c>
      <c r="K141" s="63" t="s">
        <v>6002</v>
      </c>
    </row>
    <row r="142" spans="1:11" ht="45" customHeight="1">
      <c r="A142" s="30">
        <v>105</v>
      </c>
      <c r="B142" s="45" t="s">
        <v>2815</v>
      </c>
      <c r="C142" s="45" t="s">
        <v>1</v>
      </c>
      <c r="D142" s="46"/>
      <c r="E142" s="47">
        <v>-100000</v>
      </c>
      <c r="F142" s="48">
        <v>4</v>
      </c>
      <c r="G142" s="53" t="s">
        <v>2816</v>
      </c>
      <c r="H142" s="30" t="s">
        <v>2817</v>
      </c>
      <c r="I142" s="45" t="s">
        <v>2818</v>
      </c>
      <c r="J142" s="49" t="s">
        <v>2819</v>
      </c>
      <c r="K142" s="64" t="s">
        <v>5924</v>
      </c>
    </row>
    <row r="143" spans="1:11" ht="45" customHeight="1">
      <c r="A143" s="30">
        <v>104</v>
      </c>
      <c r="B143" s="45" t="s">
        <v>213</v>
      </c>
      <c r="C143" s="45" t="s">
        <v>38</v>
      </c>
      <c r="D143" s="46"/>
      <c r="E143" s="47">
        <v>-60000</v>
      </c>
      <c r="F143" s="48">
        <v>4</v>
      </c>
      <c r="G143" s="45" t="s">
        <v>214</v>
      </c>
      <c r="H143" s="30" t="s">
        <v>215</v>
      </c>
      <c r="I143" s="45" t="s">
        <v>216</v>
      </c>
      <c r="J143" s="45" t="s">
        <v>217</v>
      </c>
      <c r="K143" s="64" t="s">
        <v>6000</v>
      </c>
    </row>
    <row r="144" spans="1:11" ht="45" customHeight="1">
      <c r="A144" s="30">
        <v>105</v>
      </c>
      <c r="B144" s="45" t="s">
        <v>252</v>
      </c>
      <c r="C144" s="45" t="s">
        <v>1</v>
      </c>
      <c r="D144" s="46"/>
      <c r="E144" s="47">
        <v>7946</v>
      </c>
      <c r="F144" s="48">
        <v>4</v>
      </c>
      <c r="G144" s="45" t="s">
        <v>5935</v>
      </c>
      <c r="H144" s="30" t="s">
        <v>5936</v>
      </c>
      <c r="I144" s="45" t="s">
        <v>40</v>
      </c>
      <c r="J144" s="45" t="s">
        <v>125</v>
      </c>
      <c r="K144" s="64" t="s">
        <v>6001</v>
      </c>
    </row>
    <row r="145" spans="1:11" ht="45" customHeight="1">
      <c r="A145" s="32"/>
      <c r="B145" s="58" t="s">
        <v>272</v>
      </c>
      <c r="C145" s="65"/>
      <c r="D145" s="66"/>
      <c r="E145" s="59">
        <f>SUM(E47:E144)</f>
        <v>9476952</v>
      </c>
      <c r="F145" s="67"/>
      <c r="G145" s="65"/>
      <c r="H145" s="32"/>
      <c r="I145" s="65"/>
      <c r="J145" s="65"/>
      <c r="K145" s="68"/>
    </row>
    <row r="146" spans="1:11" ht="45" customHeight="1">
      <c r="A146" s="32"/>
      <c r="B146" s="60" t="s">
        <v>633</v>
      </c>
      <c r="C146" s="65"/>
      <c r="D146" s="66"/>
      <c r="E146" s="59"/>
      <c r="F146" s="67"/>
      <c r="G146" s="65"/>
      <c r="H146" s="32"/>
      <c r="I146" s="65"/>
      <c r="J146" s="65"/>
      <c r="K146" s="68"/>
    </row>
    <row r="147" spans="1:11" ht="45" customHeight="1">
      <c r="A147" s="32">
        <v>105</v>
      </c>
      <c r="B147" s="45" t="s">
        <v>637</v>
      </c>
      <c r="C147" s="65" t="s">
        <v>38</v>
      </c>
      <c r="D147" s="66"/>
      <c r="E147" s="59">
        <v>99800</v>
      </c>
      <c r="F147" s="67">
        <v>4</v>
      </c>
      <c r="G147" s="69" t="s">
        <v>1070</v>
      </c>
      <c r="H147" s="32" t="s">
        <v>1071</v>
      </c>
      <c r="I147" s="65" t="s">
        <v>334</v>
      </c>
      <c r="J147" s="65" t="s">
        <v>1072</v>
      </c>
      <c r="K147" s="68" t="str">
        <f>"00028185"</f>
        <v>00028185</v>
      </c>
    </row>
    <row r="148" spans="1:11" ht="45" customHeight="1">
      <c r="A148" s="32">
        <v>105</v>
      </c>
      <c r="B148" s="45" t="s">
        <v>638</v>
      </c>
      <c r="C148" s="65" t="s">
        <v>38</v>
      </c>
      <c r="D148" s="66"/>
      <c r="E148" s="59">
        <v>52569</v>
      </c>
      <c r="F148" s="67">
        <v>4</v>
      </c>
      <c r="G148" s="69" t="s">
        <v>1073</v>
      </c>
      <c r="H148" s="32" t="s">
        <v>1064</v>
      </c>
      <c r="I148" s="65" t="s">
        <v>92</v>
      </c>
      <c r="J148" s="65" t="s">
        <v>156</v>
      </c>
      <c r="K148" s="68" t="s">
        <v>3776</v>
      </c>
    </row>
    <row r="149" spans="1:11" ht="45" customHeight="1">
      <c r="A149" s="32">
        <v>105</v>
      </c>
      <c r="B149" s="45" t="s">
        <v>1027</v>
      </c>
      <c r="C149" s="65" t="s">
        <v>38</v>
      </c>
      <c r="D149" s="66"/>
      <c r="E149" s="59">
        <v>12100</v>
      </c>
      <c r="F149" s="67">
        <v>4</v>
      </c>
      <c r="G149" s="65" t="s">
        <v>3777</v>
      </c>
      <c r="H149" s="32" t="s">
        <v>1074</v>
      </c>
      <c r="I149" s="65" t="s">
        <v>100</v>
      </c>
      <c r="J149" s="65" t="s">
        <v>1075</v>
      </c>
      <c r="K149" s="68" t="s">
        <v>3778</v>
      </c>
    </row>
    <row r="150" spans="1:11" ht="45" customHeight="1">
      <c r="A150" s="32">
        <v>105</v>
      </c>
      <c r="B150" s="45" t="s">
        <v>1076</v>
      </c>
      <c r="C150" s="65" t="s">
        <v>38</v>
      </c>
      <c r="D150" s="66"/>
      <c r="E150" s="59">
        <v>60865</v>
      </c>
      <c r="F150" s="67">
        <v>4</v>
      </c>
      <c r="G150" s="69" t="s">
        <v>1077</v>
      </c>
      <c r="H150" s="32" t="s">
        <v>1071</v>
      </c>
      <c r="I150" s="65" t="s">
        <v>334</v>
      </c>
      <c r="J150" s="65" t="s">
        <v>1072</v>
      </c>
      <c r="K150" s="68" t="s">
        <v>3779</v>
      </c>
    </row>
    <row r="151" spans="1:11" ht="45" customHeight="1">
      <c r="A151" s="32">
        <v>105</v>
      </c>
      <c r="B151" s="45" t="s">
        <v>1062</v>
      </c>
      <c r="C151" s="65" t="s">
        <v>38</v>
      </c>
      <c r="D151" s="66"/>
      <c r="E151" s="59">
        <v>55274</v>
      </c>
      <c r="F151" s="67">
        <v>4</v>
      </c>
      <c r="G151" s="69" t="s">
        <v>1063</v>
      </c>
      <c r="H151" s="32" t="s">
        <v>1064</v>
      </c>
      <c r="I151" s="65" t="s">
        <v>92</v>
      </c>
      <c r="J151" s="65" t="s">
        <v>156</v>
      </c>
      <c r="K151" s="68" t="s">
        <v>3780</v>
      </c>
    </row>
    <row r="152" spans="1:11" ht="45" customHeight="1">
      <c r="A152" s="32">
        <v>105</v>
      </c>
      <c r="B152" s="45" t="s">
        <v>639</v>
      </c>
      <c r="C152" s="65" t="s">
        <v>38</v>
      </c>
      <c r="D152" s="66"/>
      <c r="E152" s="59">
        <v>10000</v>
      </c>
      <c r="F152" s="67">
        <v>4</v>
      </c>
      <c r="G152" s="69" t="s">
        <v>1065</v>
      </c>
      <c r="H152" s="32" t="s">
        <v>1066</v>
      </c>
      <c r="I152" s="65" t="s">
        <v>92</v>
      </c>
      <c r="J152" s="65" t="s">
        <v>156</v>
      </c>
      <c r="K152" s="68" t="s">
        <v>3781</v>
      </c>
    </row>
    <row r="153" spans="1:11" ht="45" customHeight="1">
      <c r="A153" s="32">
        <v>105</v>
      </c>
      <c r="B153" s="49" t="s">
        <v>1067</v>
      </c>
      <c r="C153" s="65" t="s">
        <v>38</v>
      </c>
      <c r="D153" s="66"/>
      <c r="E153" s="59">
        <v>48599</v>
      </c>
      <c r="F153" s="67">
        <v>4</v>
      </c>
      <c r="G153" s="65" t="s">
        <v>1068</v>
      </c>
      <c r="H153" s="32" t="s">
        <v>1069</v>
      </c>
      <c r="I153" s="65" t="s">
        <v>92</v>
      </c>
      <c r="J153" s="65" t="s">
        <v>156</v>
      </c>
      <c r="K153" s="68" t="s">
        <v>3782</v>
      </c>
    </row>
    <row r="154" spans="1:11" ht="45" customHeight="1">
      <c r="A154" s="32">
        <v>105</v>
      </c>
      <c r="B154" s="45" t="s">
        <v>639</v>
      </c>
      <c r="C154" s="65" t="s">
        <v>38</v>
      </c>
      <c r="D154" s="66"/>
      <c r="E154" s="59">
        <v>10000</v>
      </c>
      <c r="F154" s="67">
        <v>4</v>
      </c>
      <c r="G154" s="65" t="s">
        <v>3783</v>
      </c>
      <c r="H154" s="32" t="s">
        <v>1066</v>
      </c>
      <c r="I154" s="65" t="s">
        <v>92</v>
      </c>
      <c r="J154" s="65" t="s">
        <v>156</v>
      </c>
      <c r="K154" s="68" t="s">
        <v>3784</v>
      </c>
    </row>
    <row r="155" spans="1:11" ht="45" customHeight="1">
      <c r="A155" s="32">
        <v>105</v>
      </c>
      <c r="B155" s="45" t="s">
        <v>644</v>
      </c>
      <c r="C155" s="65" t="s">
        <v>38</v>
      </c>
      <c r="D155" s="66"/>
      <c r="E155" s="59">
        <v>52916</v>
      </c>
      <c r="F155" s="67">
        <v>4</v>
      </c>
      <c r="G155" s="65" t="s">
        <v>3785</v>
      </c>
      <c r="H155" s="32" t="s">
        <v>1030</v>
      </c>
      <c r="I155" s="65" t="s">
        <v>92</v>
      </c>
      <c r="J155" s="65" t="s">
        <v>355</v>
      </c>
      <c r="K155" s="68" t="s">
        <v>3786</v>
      </c>
    </row>
    <row r="156" spans="1:11" ht="45" customHeight="1">
      <c r="A156" s="32">
        <v>105</v>
      </c>
      <c r="B156" s="45" t="s">
        <v>639</v>
      </c>
      <c r="C156" s="65" t="s">
        <v>38</v>
      </c>
      <c r="D156" s="66"/>
      <c r="E156" s="59">
        <v>20000</v>
      </c>
      <c r="F156" s="67">
        <v>4</v>
      </c>
      <c r="G156" s="65" t="s">
        <v>3787</v>
      </c>
      <c r="H156" s="32" t="s">
        <v>1066</v>
      </c>
      <c r="I156" s="65" t="s">
        <v>92</v>
      </c>
      <c r="J156" s="65" t="s">
        <v>156</v>
      </c>
      <c r="K156" s="68" t="s">
        <v>3788</v>
      </c>
    </row>
    <row r="157" spans="1:11" ht="45" customHeight="1">
      <c r="A157" s="32">
        <v>105</v>
      </c>
      <c r="B157" s="45" t="s">
        <v>639</v>
      </c>
      <c r="C157" s="65" t="s">
        <v>38</v>
      </c>
      <c r="D157" s="66"/>
      <c r="E157" s="59">
        <v>71625</v>
      </c>
      <c r="F157" s="67">
        <v>4</v>
      </c>
      <c r="G157" s="69" t="s">
        <v>1055</v>
      </c>
      <c r="H157" s="32" t="s">
        <v>1056</v>
      </c>
      <c r="I157" s="65" t="s">
        <v>92</v>
      </c>
      <c r="J157" s="69" t="s">
        <v>1057</v>
      </c>
      <c r="K157" s="68" t="str">
        <f>"00028436"</f>
        <v>00028436</v>
      </c>
    </row>
    <row r="158" spans="1:11" ht="45" customHeight="1">
      <c r="A158" s="32">
        <v>105</v>
      </c>
      <c r="B158" s="45" t="s">
        <v>1042</v>
      </c>
      <c r="C158" s="65" t="s">
        <v>38</v>
      </c>
      <c r="D158" s="66"/>
      <c r="E158" s="59">
        <v>40000</v>
      </c>
      <c r="F158" s="67">
        <v>4</v>
      </c>
      <c r="G158" s="65" t="s">
        <v>1043</v>
      </c>
      <c r="H158" s="32" t="s">
        <v>1044</v>
      </c>
      <c r="I158" s="65" t="s">
        <v>116</v>
      </c>
      <c r="J158" s="70" t="s">
        <v>1045</v>
      </c>
      <c r="K158" s="68" t="str">
        <f>"00028337"</f>
        <v>00028337</v>
      </c>
    </row>
    <row r="159" spans="1:11" ht="45" customHeight="1">
      <c r="A159" s="32">
        <v>105</v>
      </c>
      <c r="B159" s="45" t="s">
        <v>1027</v>
      </c>
      <c r="C159" s="65" t="s">
        <v>38</v>
      </c>
      <c r="D159" s="66"/>
      <c r="E159" s="59">
        <v>107900</v>
      </c>
      <c r="F159" s="67">
        <v>4</v>
      </c>
      <c r="G159" s="65" t="s">
        <v>1028</v>
      </c>
      <c r="H159" s="32" t="s">
        <v>1029</v>
      </c>
      <c r="I159" s="65" t="s">
        <v>107</v>
      </c>
      <c r="J159" s="70" t="s">
        <v>149</v>
      </c>
      <c r="K159" s="68" t="str">
        <f>"00029153"</f>
        <v>00029153</v>
      </c>
    </row>
    <row r="160" spans="1:11" ht="45" customHeight="1">
      <c r="A160" s="32">
        <v>105</v>
      </c>
      <c r="B160" s="45" t="s">
        <v>1024</v>
      </c>
      <c r="C160" s="65" t="s">
        <v>38</v>
      </c>
      <c r="D160" s="66"/>
      <c r="E160" s="59">
        <v>91841</v>
      </c>
      <c r="F160" s="67">
        <v>4</v>
      </c>
      <c r="G160" s="69" t="s">
        <v>1025</v>
      </c>
      <c r="H160" s="32" t="s">
        <v>1026</v>
      </c>
      <c r="I160" s="65" t="s">
        <v>92</v>
      </c>
      <c r="J160" s="65" t="s">
        <v>355</v>
      </c>
      <c r="K160" s="68" t="s">
        <v>3789</v>
      </c>
    </row>
    <row r="161" spans="1:11" ht="45" customHeight="1">
      <c r="A161" s="32">
        <v>105</v>
      </c>
      <c r="B161" s="45" t="s">
        <v>639</v>
      </c>
      <c r="C161" s="65" t="s">
        <v>38</v>
      </c>
      <c r="D161" s="66"/>
      <c r="E161" s="59">
        <v>10000</v>
      </c>
      <c r="F161" s="67">
        <v>4</v>
      </c>
      <c r="G161" s="70" t="s">
        <v>1031</v>
      </c>
      <c r="H161" s="32" t="s">
        <v>1032</v>
      </c>
      <c r="I161" s="65" t="s">
        <v>345</v>
      </c>
      <c r="J161" s="69" t="s">
        <v>1033</v>
      </c>
      <c r="K161" s="68" t="str">
        <f>"00029125"</f>
        <v>00029125</v>
      </c>
    </row>
    <row r="162" spans="1:11" ht="45" customHeight="1">
      <c r="A162" s="32">
        <v>105</v>
      </c>
      <c r="B162" s="49" t="s">
        <v>1046</v>
      </c>
      <c r="C162" s="65" t="s">
        <v>38</v>
      </c>
      <c r="D162" s="66"/>
      <c r="E162" s="59">
        <v>50000</v>
      </c>
      <c r="F162" s="67">
        <v>4</v>
      </c>
      <c r="G162" s="65" t="s">
        <v>1047</v>
      </c>
      <c r="H162" s="32" t="s">
        <v>1048</v>
      </c>
      <c r="I162" s="65" t="s">
        <v>107</v>
      </c>
      <c r="J162" s="65" t="s">
        <v>1049</v>
      </c>
      <c r="K162" s="68" t="str">
        <f>"00028368"</f>
        <v>00028368</v>
      </c>
    </row>
    <row r="163" spans="1:11" ht="45" customHeight="1">
      <c r="A163" s="32">
        <v>105</v>
      </c>
      <c r="B163" s="45" t="s">
        <v>1050</v>
      </c>
      <c r="C163" s="65" t="s">
        <v>38</v>
      </c>
      <c r="D163" s="66"/>
      <c r="E163" s="59">
        <v>116249</v>
      </c>
      <c r="F163" s="67">
        <v>4</v>
      </c>
      <c r="G163" s="65" t="s">
        <v>1051</v>
      </c>
      <c r="H163" s="32" t="s">
        <v>1052</v>
      </c>
      <c r="I163" s="65" t="s">
        <v>1053</v>
      </c>
      <c r="J163" s="69" t="s">
        <v>1054</v>
      </c>
      <c r="K163" s="68" t="str">
        <f>"00028356"</f>
        <v>00028356</v>
      </c>
    </row>
    <row r="164" spans="1:11" ht="45" customHeight="1">
      <c r="A164" s="32">
        <v>105</v>
      </c>
      <c r="B164" s="49" t="s">
        <v>1041</v>
      </c>
      <c r="C164" s="65" t="s">
        <v>38</v>
      </c>
      <c r="D164" s="66"/>
      <c r="E164" s="59">
        <v>120000</v>
      </c>
      <c r="F164" s="67">
        <v>4</v>
      </c>
      <c r="G164" s="65" t="s">
        <v>3790</v>
      </c>
      <c r="H164" s="32" t="s">
        <v>1040</v>
      </c>
      <c r="I164" s="65" t="s">
        <v>96</v>
      </c>
      <c r="J164" s="65" t="s">
        <v>319</v>
      </c>
      <c r="K164" s="68" t="s">
        <v>3791</v>
      </c>
    </row>
    <row r="165" spans="1:11" ht="45" customHeight="1">
      <c r="A165" s="32">
        <v>105</v>
      </c>
      <c r="B165" s="45" t="s">
        <v>1042</v>
      </c>
      <c r="C165" s="65" t="s">
        <v>38</v>
      </c>
      <c r="D165" s="66"/>
      <c r="E165" s="59">
        <v>60000</v>
      </c>
      <c r="F165" s="67">
        <v>4</v>
      </c>
      <c r="G165" s="65" t="s">
        <v>1043</v>
      </c>
      <c r="H165" s="32" t="s">
        <v>1044</v>
      </c>
      <c r="I165" s="65" t="s">
        <v>116</v>
      </c>
      <c r="J165" s="70" t="s">
        <v>1045</v>
      </c>
      <c r="K165" s="68" t="s">
        <v>3792</v>
      </c>
    </row>
    <row r="166" spans="1:11" ht="45" customHeight="1">
      <c r="A166" s="32">
        <v>105</v>
      </c>
      <c r="B166" s="45" t="s">
        <v>639</v>
      </c>
      <c r="C166" s="65" t="s">
        <v>38</v>
      </c>
      <c r="D166" s="66"/>
      <c r="E166" s="59">
        <v>21030</v>
      </c>
      <c r="F166" s="67">
        <v>4</v>
      </c>
      <c r="G166" s="65" t="s">
        <v>3793</v>
      </c>
      <c r="H166" s="32" t="s">
        <v>1040</v>
      </c>
      <c r="I166" s="65" t="s">
        <v>96</v>
      </c>
      <c r="J166" s="65" t="s">
        <v>319</v>
      </c>
      <c r="K166" s="68" t="str">
        <f>"00029576"</f>
        <v>00029576</v>
      </c>
    </row>
    <row r="167" spans="1:11" ht="45" customHeight="1">
      <c r="A167" s="32">
        <v>105</v>
      </c>
      <c r="B167" s="45" t="s">
        <v>1024</v>
      </c>
      <c r="C167" s="65" t="s">
        <v>38</v>
      </c>
      <c r="D167" s="66"/>
      <c r="E167" s="59">
        <v>21236</v>
      </c>
      <c r="F167" s="67">
        <v>4</v>
      </c>
      <c r="G167" s="70" t="s">
        <v>1034</v>
      </c>
      <c r="H167" s="32" t="s">
        <v>1035</v>
      </c>
      <c r="I167" s="65" t="s">
        <v>111</v>
      </c>
      <c r="J167" s="65" t="s">
        <v>220</v>
      </c>
      <c r="K167" s="68" t="str">
        <f>"00030007"</f>
        <v>00030007</v>
      </c>
    </row>
    <row r="168" spans="1:11" ht="45" customHeight="1">
      <c r="A168" s="32">
        <v>105</v>
      </c>
      <c r="B168" s="45" t="s">
        <v>639</v>
      </c>
      <c r="C168" s="65" t="s">
        <v>38</v>
      </c>
      <c r="D168" s="66"/>
      <c r="E168" s="59">
        <v>13734</v>
      </c>
      <c r="F168" s="67">
        <v>4</v>
      </c>
      <c r="G168" s="69" t="s">
        <v>3794</v>
      </c>
      <c r="H168" s="32" t="s">
        <v>991</v>
      </c>
      <c r="I168" s="65" t="s">
        <v>100</v>
      </c>
      <c r="J168" s="65" t="s">
        <v>178</v>
      </c>
      <c r="K168" s="68" t="s">
        <v>3795</v>
      </c>
    </row>
    <row r="169" spans="1:11" ht="45" customHeight="1">
      <c r="A169" s="32">
        <v>105</v>
      </c>
      <c r="B169" s="45" t="s">
        <v>715</v>
      </c>
      <c r="C169" s="65" t="s">
        <v>38</v>
      </c>
      <c r="D169" s="66"/>
      <c r="E169" s="59">
        <v>51030</v>
      </c>
      <c r="F169" s="67">
        <v>4</v>
      </c>
      <c r="G169" s="71" t="s">
        <v>1038</v>
      </c>
      <c r="H169" s="32" t="s">
        <v>1039</v>
      </c>
      <c r="I169" s="65" t="s">
        <v>100</v>
      </c>
      <c r="J169" s="65" t="s">
        <v>635</v>
      </c>
      <c r="K169" s="68" t="s">
        <v>3796</v>
      </c>
    </row>
    <row r="170" spans="1:11" ht="45" customHeight="1">
      <c r="A170" s="32">
        <v>105</v>
      </c>
      <c r="B170" s="45" t="s">
        <v>638</v>
      </c>
      <c r="C170" s="65" t="s">
        <v>38</v>
      </c>
      <c r="D170" s="66"/>
      <c r="E170" s="59">
        <v>40000</v>
      </c>
      <c r="F170" s="67">
        <v>4</v>
      </c>
      <c r="G170" s="65" t="s">
        <v>3797</v>
      </c>
      <c r="H170" s="32" t="s">
        <v>1089</v>
      </c>
      <c r="I170" s="65" t="s">
        <v>107</v>
      </c>
      <c r="J170" s="65" t="s">
        <v>302</v>
      </c>
      <c r="K170" s="68" t="s">
        <v>3798</v>
      </c>
    </row>
    <row r="171" spans="1:11" ht="45" customHeight="1">
      <c r="A171" s="32">
        <v>105</v>
      </c>
      <c r="B171" s="45" t="s">
        <v>1036</v>
      </c>
      <c r="C171" s="65" t="s">
        <v>38</v>
      </c>
      <c r="D171" s="66"/>
      <c r="E171" s="59">
        <v>20095</v>
      </c>
      <c r="F171" s="67">
        <v>4</v>
      </c>
      <c r="G171" s="65" t="s">
        <v>3799</v>
      </c>
      <c r="H171" s="32" t="s">
        <v>1037</v>
      </c>
      <c r="I171" s="65" t="s">
        <v>100</v>
      </c>
      <c r="J171" s="65" t="s">
        <v>101</v>
      </c>
      <c r="K171" s="68" t="s">
        <v>3800</v>
      </c>
    </row>
    <row r="172" spans="1:11" ht="45" customHeight="1">
      <c r="A172" s="32">
        <v>105</v>
      </c>
      <c r="B172" s="45" t="s">
        <v>1076</v>
      </c>
      <c r="C172" s="65" t="s">
        <v>38</v>
      </c>
      <c r="D172" s="66"/>
      <c r="E172" s="59">
        <v>23305</v>
      </c>
      <c r="F172" s="67">
        <v>4</v>
      </c>
      <c r="G172" s="65" t="s">
        <v>1090</v>
      </c>
      <c r="H172" s="32" t="s">
        <v>1091</v>
      </c>
      <c r="I172" s="65" t="s">
        <v>92</v>
      </c>
      <c r="J172" s="69" t="s">
        <v>1092</v>
      </c>
      <c r="K172" s="68" t="s">
        <v>3801</v>
      </c>
    </row>
    <row r="173" spans="1:11" ht="45" customHeight="1">
      <c r="A173" s="32">
        <v>105</v>
      </c>
      <c r="B173" s="45" t="s">
        <v>1027</v>
      </c>
      <c r="C173" s="65" t="s">
        <v>38</v>
      </c>
      <c r="D173" s="66"/>
      <c r="E173" s="59">
        <v>105195</v>
      </c>
      <c r="F173" s="67">
        <v>4</v>
      </c>
      <c r="G173" s="65" t="s">
        <v>3802</v>
      </c>
      <c r="H173" s="32" t="s">
        <v>788</v>
      </c>
      <c r="I173" s="65" t="s">
        <v>107</v>
      </c>
      <c r="J173" s="65" t="s">
        <v>277</v>
      </c>
      <c r="K173" s="68" t="str">
        <f>"00031846"</f>
        <v>00031846</v>
      </c>
    </row>
    <row r="174" spans="1:11" ht="45" customHeight="1">
      <c r="A174" s="32">
        <v>105</v>
      </c>
      <c r="B174" s="45" t="s">
        <v>1079</v>
      </c>
      <c r="C174" s="65" t="s">
        <v>38</v>
      </c>
      <c r="D174" s="66"/>
      <c r="E174" s="59">
        <v>70000</v>
      </c>
      <c r="F174" s="67">
        <v>4</v>
      </c>
      <c r="G174" s="65" t="s">
        <v>3803</v>
      </c>
      <c r="H174" s="32" t="s">
        <v>1080</v>
      </c>
      <c r="I174" s="65" t="s">
        <v>180</v>
      </c>
      <c r="J174" s="65" t="s">
        <v>181</v>
      </c>
      <c r="K174" s="68" t="s">
        <v>3804</v>
      </c>
    </row>
    <row r="175" spans="1:11" ht="45" customHeight="1">
      <c r="A175" s="32">
        <v>105</v>
      </c>
      <c r="B175" s="45" t="s">
        <v>637</v>
      </c>
      <c r="C175" s="65" t="s">
        <v>38</v>
      </c>
      <c r="D175" s="66"/>
      <c r="E175" s="59">
        <v>83805</v>
      </c>
      <c r="F175" s="67">
        <v>4</v>
      </c>
      <c r="G175" s="70" t="s">
        <v>1081</v>
      </c>
      <c r="H175" s="32" t="s">
        <v>1082</v>
      </c>
      <c r="I175" s="65" t="s">
        <v>120</v>
      </c>
      <c r="J175" s="65" t="s">
        <v>120</v>
      </c>
      <c r="K175" s="68" t="s">
        <v>3805</v>
      </c>
    </row>
    <row r="176" spans="1:11" ht="45" customHeight="1">
      <c r="A176" s="32">
        <v>105</v>
      </c>
      <c r="B176" s="45" t="s">
        <v>639</v>
      </c>
      <c r="C176" s="65" t="s">
        <v>38</v>
      </c>
      <c r="D176" s="66"/>
      <c r="E176" s="59">
        <v>56663</v>
      </c>
      <c r="F176" s="67">
        <v>4</v>
      </c>
      <c r="G176" s="69" t="s">
        <v>3806</v>
      </c>
      <c r="H176" s="32" t="s">
        <v>1078</v>
      </c>
      <c r="I176" s="65" t="s">
        <v>120</v>
      </c>
      <c r="J176" s="65" t="s">
        <v>120</v>
      </c>
      <c r="K176" s="68" t="s">
        <v>3807</v>
      </c>
    </row>
    <row r="177" spans="1:11" ht="45" customHeight="1">
      <c r="A177" s="32">
        <v>105</v>
      </c>
      <c r="B177" s="49" t="s">
        <v>1067</v>
      </c>
      <c r="C177" s="65" t="s">
        <v>38</v>
      </c>
      <c r="D177" s="66"/>
      <c r="E177" s="59">
        <v>99864</v>
      </c>
      <c r="F177" s="67">
        <v>4</v>
      </c>
      <c r="G177" s="72" t="s">
        <v>1086</v>
      </c>
      <c r="H177" s="32" t="s">
        <v>1087</v>
      </c>
      <c r="I177" s="65" t="s">
        <v>222</v>
      </c>
      <c r="J177" s="65" t="s">
        <v>1088</v>
      </c>
      <c r="K177" s="68" t="s">
        <v>3808</v>
      </c>
    </row>
    <row r="178" spans="1:11" ht="45" customHeight="1">
      <c r="A178" s="32">
        <v>105</v>
      </c>
      <c r="B178" s="45" t="s">
        <v>1083</v>
      </c>
      <c r="C178" s="65" t="s">
        <v>38</v>
      </c>
      <c r="D178" s="66"/>
      <c r="E178" s="59">
        <v>14128</v>
      </c>
      <c r="F178" s="67">
        <v>4</v>
      </c>
      <c r="G178" s="65" t="s">
        <v>1084</v>
      </c>
      <c r="H178" s="32" t="s">
        <v>1085</v>
      </c>
      <c r="I178" s="65" t="s">
        <v>161</v>
      </c>
      <c r="J178" s="65" t="s">
        <v>162</v>
      </c>
      <c r="K178" s="68" t="s">
        <v>3809</v>
      </c>
    </row>
    <row r="179" spans="1:11" ht="45" customHeight="1">
      <c r="A179" s="32">
        <v>105</v>
      </c>
      <c r="B179" s="45" t="s">
        <v>644</v>
      </c>
      <c r="C179" s="65" t="s">
        <v>38</v>
      </c>
      <c r="D179" s="66"/>
      <c r="E179" s="59">
        <v>6795</v>
      </c>
      <c r="F179" s="67">
        <v>4</v>
      </c>
      <c r="G179" s="69" t="s">
        <v>1059</v>
      </c>
      <c r="H179" s="32" t="s">
        <v>1060</v>
      </c>
      <c r="I179" s="65" t="s">
        <v>92</v>
      </c>
      <c r="J179" s="65" t="s">
        <v>93</v>
      </c>
      <c r="K179" s="68" t="str">
        <f>"00032240"</f>
        <v>00032240</v>
      </c>
    </row>
    <row r="180" spans="1:11" ht="45" customHeight="1">
      <c r="A180" s="32">
        <v>105</v>
      </c>
      <c r="B180" s="51" t="s">
        <v>645</v>
      </c>
      <c r="C180" s="65" t="s">
        <v>38</v>
      </c>
      <c r="D180" s="66"/>
      <c r="E180" s="59">
        <v>6795</v>
      </c>
      <c r="F180" s="67">
        <v>4</v>
      </c>
      <c r="G180" s="69" t="s">
        <v>1061</v>
      </c>
      <c r="H180" s="32" t="s">
        <v>1060</v>
      </c>
      <c r="I180" s="65" t="s">
        <v>92</v>
      </c>
      <c r="J180" s="65" t="s">
        <v>93</v>
      </c>
      <c r="K180" s="68" t="str">
        <f>"00032417"</f>
        <v>00032417</v>
      </c>
    </row>
    <row r="181" spans="1:11" ht="45" customHeight="1">
      <c r="A181" s="32">
        <v>105</v>
      </c>
      <c r="B181" s="45" t="s">
        <v>1058</v>
      </c>
      <c r="C181" s="65" t="s">
        <v>38</v>
      </c>
      <c r="D181" s="66"/>
      <c r="E181" s="59">
        <v>6795</v>
      </c>
      <c r="F181" s="67">
        <v>4</v>
      </c>
      <c r="G181" s="69" t="s">
        <v>1059</v>
      </c>
      <c r="H181" s="32" t="s">
        <v>1060</v>
      </c>
      <c r="I181" s="65" t="s">
        <v>92</v>
      </c>
      <c r="J181" s="65" t="s">
        <v>93</v>
      </c>
      <c r="K181" s="68" t="str">
        <f>"00032425"</f>
        <v>00032425</v>
      </c>
    </row>
    <row r="182" spans="1:11" ht="45" customHeight="1">
      <c r="A182" s="32">
        <v>105</v>
      </c>
      <c r="B182" s="45" t="s">
        <v>639</v>
      </c>
      <c r="C182" s="65" t="s">
        <v>38</v>
      </c>
      <c r="D182" s="66"/>
      <c r="E182" s="59">
        <v>6795</v>
      </c>
      <c r="F182" s="67">
        <v>4</v>
      </c>
      <c r="G182" s="69" t="s">
        <v>1059</v>
      </c>
      <c r="H182" s="32" t="s">
        <v>1060</v>
      </c>
      <c r="I182" s="65" t="s">
        <v>92</v>
      </c>
      <c r="J182" s="65" t="s">
        <v>93</v>
      </c>
      <c r="K182" s="68" t="str">
        <f>"00032452"</f>
        <v>00032452</v>
      </c>
    </row>
    <row r="183" spans="1:11" ht="45" customHeight="1">
      <c r="A183" s="32">
        <v>105</v>
      </c>
      <c r="B183" s="45" t="s">
        <v>3810</v>
      </c>
      <c r="C183" s="65" t="s">
        <v>38</v>
      </c>
      <c r="D183" s="66"/>
      <c r="E183" s="59">
        <v>80000</v>
      </c>
      <c r="F183" s="67">
        <v>4</v>
      </c>
      <c r="G183" s="65" t="s">
        <v>3811</v>
      </c>
      <c r="H183" s="32" t="s">
        <v>1095</v>
      </c>
      <c r="I183" s="65" t="s">
        <v>116</v>
      </c>
      <c r="J183" s="65" t="s">
        <v>1096</v>
      </c>
      <c r="K183" s="68" t="str">
        <f>"00029708"</f>
        <v>00029708</v>
      </c>
    </row>
    <row r="184" spans="1:11" ht="45" customHeight="1">
      <c r="A184" s="32">
        <v>105</v>
      </c>
      <c r="B184" s="45" t="s">
        <v>3812</v>
      </c>
      <c r="C184" s="65" t="s">
        <v>38</v>
      </c>
      <c r="D184" s="66"/>
      <c r="E184" s="59">
        <v>71556</v>
      </c>
      <c r="F184" s="67">
        <v>4</v>
      </c>
      <c r="G184" s="65" t="s">
        <v>1093</v>
      </c>
      <c r="H184" s="32" t="s">
        <v>953</v>
      </c>
      <c r="I184" s="65" t="s">
        <v>120</v>
      </c>
      <c r="J184" s="65" t="s">
        <v>120</v>
      </c>
      <c r="K184" s="68" t="s">
        <v>3813</v>
      </c>
    </row>
    <row r="185" spans="1:11" ht="45" customHeight="1">
      <c r="A185" s="32">
        <v>105</v>
      </c>
      <c r="B185" s="51" t="s">
        <v>3814</v>
      </c>
      <c r="C185" s="65" t="s">
        <v>38</v>
      </c>
      <c r="D185" s="66"/>
      <c r="E185" s="59">
        <v>60000</v>
      </c>
      <c r="F185" s="67">
        <v>4</v>
      </c>
      <c r="G185" s="65" t="s">
        <v>3815</v>
      </c>
      <c r="H185" s="32" t="s">
        <v>1094</v>
      </c>
      <c r="I185" s="65" t="s">
        <v>107</v>
      </c>
      <c r="J185" s="65" t="s">
        <v>302</v>
      </c>
      <c r="K185" s="68" t="s">
        <v>3816</v>
      </c>
    </row>
    <row r="186" spans="1:11" ht="45" customHeight="1">
      <c r="A186" s="32">
        <v>105</v>
      </c>
      <c r="B186" s="49" t="s">
        <v>3819</v>
      </c>
      <c r="C186" s="65" t="s">
        <v>38</v>
      </c>
      <c r="D186" s="66"/>
      <c r="E186" s="59">
        <v>81266</v>
      </c>
      <c r="F186" s="67">
        <v>4</v>
      </c>
      <c r="G186" s="72" t="s">
        <v>3820</v>
      </c>
      <c r="H186" s="32" t="s">
        <v>3818</v>
      </c>
      <c r="I186" s="65" t="s">
        <v>387</v>
      </c>
      <c r="J186" s="65" t="s">
        <v>1653</v>
      </c>
      <c r="K186" s="68" t="str">
        <f>"00029211"</f>
        <v>00029211</v>
      </c>
    </row>
    <row r="187" spans="1:11" ht="45" customHeight="1">
      <c r="A187" s="32">
        <v>104</v>
      </c>
      <c r="B187" s="45" t="s">
        <v>640</v>
      </c>
      <c r="C187" s="65" t="s">
        <v>38</v>
      </c>
      <c r="D187" s="66"/>
      <c r="E187" s="59">
        <v>-89702</v>
      </c>
      <c r="F187" s="67">
        <v>4</v>
      </c>
      <c r="G187" s="65" t="s">
        <v>641</v>
      </c>
      <c r="H187" s="32" t="s">
        <v>642</v>
      </c>
      <c r="I187" s="65" t="s">
        <v>111</v>
      </c>
      <c r="J187" s="65" t="s">
        <v>445</v>
      </c>
      <c r="K187" s="73" t="s">
        <v>3817</v>
      </c>
    </row>
    <row r="188" spans="1:11" ht="45" customHeight="1">
      <c r="A188" s="31"/>
      <c r="B188" s="58" t="s">
        <v>634</v>
      </c>
      <c r="C188" s="31"/>
      <c r="D188" s="31"/>
      <c r="E188" s="59">
        <f>SUM(E147:E187)</f>
        <v>1940123</v>
      </c>
      <c r="F188" s="31"/>
      <c r="G188" s="31"/>
      <c r="H188" s="31"/>
      <c r="I188" s="31"/>
      <c r="J188" s="31"/>
      <c r="K188" s="31"/>
    </row>
    <row r="189" spans="1:11" ht="45" customHeight="1">
      <c r="A189" s="32"/>
      <c r="B189" s="60" t="s">
        <v>41</v>
      </c>
      <c r="C189" s="65"/>
      <c r="D189" s="66"/>
      <c r="E189" s="59"/>
      <c r="F189" s="67"/>
      <c r="G189" s="65"/>
      <c r="H189" s="32"/>
      <c r="I189" s="65"/>
      <c r="J189" s="65"/>
      <c r="K189" s="68"/>
    </row>
    <row r="190" spans="1:11" ht="45" customHeight="1">
      <c r="A190" s="32">
        <v>105</v>
      </c>
      <c r="B190" s="45" t="s">
        <v>436</v>
      </c>
      <c r="C190" s="65" t="s">
        <v>38</v>
      </c>
      <c r="D190" s="66"/>
      <c r="E190" s="59">
        <v>22000</v>
      </c>
      <c r="F190" s="67">
        <v>4</v>
      </c>
      <c r="G190" s="65" t="s">
        <v>1380</v>
      </c>
      <c r="H190" s="32" t="s">
        <v>1379</v>
      </c>
      <c r="I190" s="65" t="s">
        <v>92</v>
      </c>
      <c r="J190" s="65" t="s">
        <v>293</v>
      </c>
      <c r="K190" s="68" t="str">
        <f>"00027196"</f>
        <v>00027196</v>
      </c>
    </row>
    <row r="191" spans="1:11" ht="45" customHeight="1">
      <c r="A191" s="32">
        <v>105</v>
      </c>
      <c r="B191" s="45" t="s">
        <v>436</v>
      </c>
      <c r="C191" s="65" t="s">
        <v>38</v>
      </c>
      <c r="D191" s="66"/>
      <c r="E191" s="59">
        <v>22000</v>
      </c>
      <c r="F191" s="67">
        <v>4</v>
      </c>
      <c r="G191" s="65" t="s">
        <v>1378</v>
      </c>
      <c r="H191" s="32" t="s">
        <v>1379</v>
      </c>
      <c r="I191" s="65" t="s">
        <v>92</v>
      </c>
      <c r="J191" s="65" t="s">
        <v>293</v>
      </c>
      <c r="K191" s="68" t="str">
        <f>"00027198"</f>
        <v>00027198</v>
      </c>
    </row>
    <row r="192" spans="1:11" ht="45" customHeight="1">
      <c r="A192" s="32">
        <v>105</v>
      </c>
      <c r="B192" s="49" t="s">
        <v>1381</v>
      </c>
      <c r="C192" s="65" t="s">
        <v>38</v>
      </c>
      <c r="D192" s="66"/>
      <c r="E192" s="59">
        <v>52686</v>
      </c>
      <c r="F192" s="67">
        <v>4</v>
      </c>
      <c r="G192" s="65" t="s">
        <v>1382</v>
      </c>
      <c r="H192" s="32" t="s">
        <v>1383</v>
      </c>
      <c r="I192" s="65" t="s">
        <v>92</v>
      </c>
      <c r="J192" s="65" t="s">
        <v>156</v>
      </c>
      <c r="K192" s="68" t="str">
        <f>"00027577"</f>
        <v>00027577</v>
      </c>
    </row>
    <row r="193" spans="1:11" ht="45" customHeight="1">
      <c r="A193" s="32">
        <v>105</v>
      </c>
      <c r="B193" s="49" t="s">
        <v>1375</v>
      </c>
      <c r="C193" s="65" t="s">
        <v>38</v>
      </c>
      <c r="D193" s="66"/>
      <c r="E193" s="59">
        <v>10259</v>
      </c>
      <c r="F193" s="67">
        <v>4</v>
      </c>
      <c r="G193" s="65" t="s">
        <v>1376</v>
      </c>
      <c r="H193" s="32" t="s">
        <v>1377</v>
      </c>
      <c r="I193" s="65" t="s">
        <v>120</v>
      </c>
      <c r="J193" s="65" t="s">
        <v>120</v>
      </c>
      <c r="K193" s="68" t="str">
        <f>"00028632"</f>
        <v>00028632</v>
      </c>
    </row>
    <row r="194" spans="1:11" ht="45" customHeight="1">
      <c r="A194" s="32">
        <v>105</v>
      </c>
      <c r="B194" s="45" t="s">
        <v>1372</v>
      </c>
      <c r="C194" s="65" t="s">
        <v>38</v>
      </c>
      <c r="D194" s="66"/>
      <c r="E194" s="59">
        <v>30000</v>
      </c>
      <c r="F194" s="67">
        <v>4</v>
      </c>
      <c r="G194" s="65" t="s">
        <v>1373</v>
      </c>
      <c r="H194" s="32" t="s">
        <v>1374</v>
      </c>
      <c r="I194" s="65" t="s">
        <v>177</v>
      </c>
      <c r="J194" s="65" t="s">
        <v>232</v>
      </c>
      <c r="K194" s="68" t="str">
        <f>"00028882"</f>
        <v>00028882</v>
      </c>
    </row>
    <row r="195" spans="1:11" ht="45" customHeight="1">
      <c r="A195" s="32">
        <v>105</v>
      </c>
      <c r="B195" s="45" t="s">
        <v>1365</v>
      </c>
      <c r="C195" s="65" t="s">
        <v>38</v>
      </c>
      <c r="D195" s="66"/>
      <c r="E195" s="59">
        <v>60528</v>
      </c>
      <c r="F195" s="67">
        <v>4</v>
      </c>
      <c r="G195" s="65" t="s">
        <v>1366</v>
      </c>
      <c r="H195" s="32" t="s">
        <v>1367</v>
      </c>
      <c r="I195" s="65" t="s">
        <v>107</v>
      </c>
      <c r="J195" s="65" t="s">
        <v>315</v>
      </c>
      <c r="K195" s="68" t="str">
        <f>"00029495"</f>
        <v>00029495</v>
      </c>
    </row>
    <row r="196" spans="1:11" ht="45" customHeight="1">
      <c r="A196" s="32">
        <v>105</v>
      </c>
      <c r="B196" s="49" t="s">
        <v>430</v>
      </c>
      <c r="C196" s="65" t="s">
        <v>38</v>
      </c>
      <c r="D196" s="66"/>
      <c r="E196" s="59">
        <v>47694</v>
      </c>
      <c r="F196" s="67">
        <v>4</v>
      </c>
      <c r="G196" s="65" t="s">
        <v>1384</v>
      </c>
      <c r="H196" s="32" t="s">
        <v>1385</v>
      </c>
      <c r="I196" s="65" t="s">
        <v>107</v>
      </c>
      <c r="J196" s="65" t="s">
        <v>1386</v>
      </c>
      <c r="K196" s="68" t="str">
        <f>"00027240"</f>
        <v>00027240</v>
      </c>
    </row>
    <row r="197" spans="1:11" ht="45" customHeight="1">
      <c r="A197" s="32">
        <v>105</v>
      </c>
      <c r="B197" s="45" t="s">
        <v>1362</v>
      </c>
      <c r="C197" s="65" t="s">
        <v>38</v>
      </c>
      <c r="D197" s="66"/>
      <c r="E197" s="59">
        <v>77131</v>
      </c>
      <c r="F197" s="67">
        <v>4</v>
      </c>
      <c r="G197" s="65" t="s">
        <v>1363</v>
      </c>
      <c r="H197" s="32" t="s">
        <v>1364</v>
      </c>
      <c r="I197" s="65" t="s">
        <v>196</v>
      </c>
      <c r="J197" s="65" t="s">
        <v>125</v>
      </c>
      <c r="K197" s="68" t="str">
        <f>"00029614"</f>
        <v>00029614</v>
      </c>
    </row>
    <row r="198" spans="1:11" ht="45" customHeight="1">
      <c r="A198" s="32">
        <v>105</v>
      </c>
      <c r="B198" s="45" t="s">
        <v>439</v>
      </c>
      <c r="C198" s="65" t="s">
        <v>38</v>
      </c>
      <c r="D198" s="66"/>
      <c r="E198" s="59">
        <v>57822</v>
      </c>
      <c r="F198" s="67">
        <v>4</v>
      </c>
      <c r="G198" s="65" t="s">
        <v>1350</v>
      </c>
      <c r="H198" s="32" t="s">
        <v>1351</v>
      </c>
      <c r="I198" s="65" t="s">
        <v>264</v>
      </c>
      <c r="J198" s="65" t="s">
        <v>265</v>
      </c>
      <c r="K198" s="68" t="str">
        <f>"00028461"</f>
        <v>00028461</v>
      </c>
    </row>
    <row r="199" spans="1:11" ht="45" customHeight="1">
      <c r="A199" s="32">
        <v>105</v>
      </c>
      <c r="B199" s="45" t="s">
        <v>432</v>
      </c>
      <c r="C199" s="65" t="s">
        <v>38</v>
      </c>
      <c r="D199" s="66"/>
      <c r="E199" s="59">
        <v>82267</v>
      </c>
      <c r="F199" s="67">
        <v>4</v>
      </c>
      <c r="G199" s="65" t="s">
        <v>1352</v>
      </c>
      <c r="H199" s="32" t="s">
        <v>1353</v>
      </c>
      <c r="I199" s="65" t="s">
        <v>107</v>
      </c>
      <c r="J199" s="65" t="s">
        <v>1354</v>
      </c>
      <c r="K199" s="68" t="str">
        <f>"00029317"</f>
        <v>00029317</v>
      </c>
    </row>
    <row r="200" spans="1:11" ht="45" customHeight="1">
      <c r="A200" s="32">
        <v>105</v>
      </c>
      <c r="B200" s="45" t="s">
        <v>1355</v>
      </c>
      <c r="C200" s="65" t="s">
        <v>38</v>
      </c>
      <c r="D200" s="66"/>
      <c r="E200" s="59">
        <v>103286</v>
      </c>
      <c r="F200" s="67">
        <v>4</v>
      </c>
      <c r="G200" s="65" t="s">
        <v>1356</v>
      </c>
      <c r="H200" s="32" t="s">
        <v>1357</v>
      </c>
      <c r="I200" s="65" t="s">
        <v>177</v>
      </c>
      <c r="J200" s="65" t="s">
        <v>1358</v>
      </c>
      <c r="K200" s="68" t="str">
        <f>"00030016"</f>
        <v>00030016</v>
      </c>
    </row>
    <row r="201" spans="1:11" ht="45" customHeight="1">
      <c r="A201" s="32">
        <v>105</v>
      </c>
      <c r="B201" s="49" t="s">
        <v>1359</v>
      </c>
      <c r="C201" s="65" t="s">
        <v>38</v>
      </c>
      <c r="D201" s="66"/>
      <c r="E201" s="59">
        <v>100471</v>
      </c>
      <c r="F201" s="67">
        <v>4</v>
      </c>
      <c r="G201" s="65" t="s">
        <v>1360</v>
      </c>
      <c r="H201" s="32" t="s">
        <v>1361</v>
      </c>
      <c r="I201" s="65" t="s">
        <v>107</v>
      </c>
      <c r="J201" s="65" t="s">
        <v>108</v>
      </c>
      <c r="K201" s="68" t="str">
        <f>"00029261"</f>
        <v>00029261</v>
      </c>
    </row>
    <row r="202" spans="1:11" ht="45" customHeight="1">
      <c r="A202" s="32">
        <v>105</v>
      </c>
      <c r="B202" s="49" t="s">
        <v>1368</v>
      </c>
      <c r="C202" s="65" t="s">
        <v>38</v>
      </c>
      <c r="D202" s="66"/>
      <c r="E202" s="59">
        <v>108599</v>
      </c>
      <c r="F202" s="67">
        <v>4</v>
      </c>
      <c r="G202" s="69" t="s">
        <v>1369</v>
      </c>
      <c r="H202" s="32" t="s">
        <v>1370</v>
      </c>
      <c r="I202" s="65" t="s">
        <v>98</v>
      </c>
      <c r="J202" s="65" t="s">
        <v>99</v>
      </c>
      <c r="K202" s="68" t="str">
        <f>"00028084"</f>
        <v>00028084</v>
      </c>
    </row>
    <row r="203" spans="1:11" ht="45" customHeight="1">
      <c r="A203" s="32">
        <v>105</v>
      </c>
      <c r="B203" s="45" t="s">
        <v>1371</v>
      </c>
      <c r="C203" s="65" t="s">
        <v>38</v>
      </c>
      <c r="D203" s="66"/>
      <c r="E203" s="59">
        <v>60000</v>
      </c>
      <c r="F203" s="67">
        <v>4</v>
      </c>
      <c r="G203" s="65" t="s">
        <v>1366</v>
      </c>
      <c r="H203" s="32" t="s">
        <v>1367</v>
      </c>
      <c r="I203" s="65" t="s">
        <v>107</v>
      </c>
      <c r="J203" s="65" t="s">
        <v>315</v>
      </c>
      <c r="K203" s="68" t="str">
        <f>"00029495"</f>
        <v>00029495</v>
      </c>
    </row>
    <row r="204" spans="1:11" ht="45" customHeight="1">
      <c r="A204" s="32">
        <v>105</v>
      </c>
      <c r="B204" s="45" t="s">
        <v>1402</v>
      </c>
      <c r="C204" s="65" t="s">
        <v>38</v>
      </c>
      <c r="D204" s="66"/>
      <c r="E204" s="59">
        <v>44368</v>
      </c>
      <c r="F204" s="67">
        <v>4</v>
      </c>
      <c r="G204" s="65" t="s">
        <v>1403</v>
      </c>
      <c r="H204" s="32" t="s">
        <v>1087</v>
      </c>
      <c r="I204" s="65" t="s">
        <v>222</v>
      </c>
      <c r="J204" s="65" t="s">
        <v>1088</v>
      </c>
      <c r="K204" s="68" t="str">
        <f>"00030626"</f>
        <v>00030626</v>
      </c>
    </row>
    <row r="205" spans="1:11" ht="45" customHeight="1">
      <c r="A205" s="32">
        <v>105</v>
      </c>
      <c r="B205" s="49" t="s">
        <v>1381</v>
      </c>
      <c r="C205" s="65" t="s">
        <v>38</v>
      </c>
      <c r="D205" s="66"/>
      <c r="E205" s="59">
        <v>60000</v>
      </c>
      <c r="F205" s="67">
        <v>4</v>
      </c>
      <c r="G205" s="65" t="s">
        <v>1403</v>
      </c>
      <c r="H205" s="32" t="s">
        <v>1087</v>
      </c>
      <c r="I205" s="65" t="s">
        <v>222</v>
      </c>
      <c r="J205" s="65" t="s">
        <v>1088</v>
      </c>
      <c r="K205" s="68" t="str">
        <f>"00030626"</f>
        <v>00030626</v>
      </c>
    </row>
    <row r="206" spans="1:11" ht="45" customHeight="1">
      <c r="A206" s="32">
        <v>105</v>
      </c>
      <c r="B206" s="49" t="s">
        <v>1375</v>
      </c>
      <c r="C206" s="65" t="s">
        <v>38</v>
      </c>
      <c r="D206" s="66"/>
      <c r="E206" s="59">
        <v>87759</v>
      </c>
      <c r="F206" s="67">
        <v>4</v>
      </c>
      <c r="G206" s="65" t="s">
        <v>1400</v>
      </c>
      <c r="H206" s="32" t="s">
        <v>1401</v>
      </c>
      <c r="I206" s="65" t="s">
        <v>107</v>
      </c>
      <c r="J206" s="65" t="s">
        <v>108</v>
      </c>
      <c r="K206" s="68" t="str">
        <f>"00030437"</f>
        <v>00030437</v>
      </c>
    </row>
    <row r="207" spans="1:11" ht="45" customHeight="1">
      <c r="A207" s="32">
        <v>105</v>
      </c>
      <c r="B207" s="45" t="s">
        <v>1387</v>
      </c>
      <c r="C207" s="65" t="s">
        <v>38</v>
      </c>
      <c r="D207" s="66"/>
      <c r="E207" s="59">
        <v>76327</v>
      </c>
      <c r="F207" s="67">
        <v>4</v>
      </c>
      <c r="G207" s="65" t="s">
        <v>1388</v>
      </c>
      <c r="H207" s="32" t="s">
        <v>1389</v>
      </c>
      <c r="I207" s="65" t="s">
        <v>111</v>
      </c>
      <c r="J207" s="65" t="s">
        <v>1390</v>
      </c>
      <c r="K207" s="68" t="str">
        <f>"00030405"</f>
        <v>00030405</v>
      </c>
    </row>
    <row r="208" spans="1:11" ht="45" customHeight="1">
      <c r="A208" s="32">
        <v>105</v>
      </c>
      <c r="B208" s="49" t="s">
        <v>430</v>
      </c>
      <c r="C208" s="65" t="s">
        <v>38</v>
      </c>
      <c r="D208" s="66"/>
      <c r="E208" s="59">
        <v>59303</v>
      </c>
      <c r="F208" s="67">
        <v>4</v>
      </c>
      <c r="G208" s="65" t="s">
        <v>1391</v>
      </c>
      <c r="H208" s="32" t="s">
        <v>1392</v>
      </c>
      <c r="I208" s="70" t="s">
        <v>1393</v>
      </c>
      <c r="J208" s="70" t="s">
        <v>1394</v>
      </c>
      <c r="K208" s="68" t="str">
        <f>"00030026"</f>
        <v>00030026</v>
      </c>
    </row>
    <row r="209" spans="1:11" ht="45" customHeight="1">
      <c r="A209" s="32">
        <v>105</v>
      </c>
      <c r="B209" s="45" t="s">
        <v>438</v>
      </c>
      <c r="C209" s="65" t="s">
        <v>38</v>
      </c>
      <c r="D209" s="66"/>
      <c r="E209" s="59">
        <v>55630</v>
      </c>
      <c r="F209" s="67">
        <v>4</v>
      </c>
      <c r="G209" s="65" t="s">
        <v>1348</v>
      </c>
      <c r="H209" s="32" t="s">
        <v>1349</v>
      </c>
      <c r="I209" s="65" t="s">
        <v>92</v>
      </c>
      <c r="J209" s="65" t="s">
        <v>200</v>
      </c>
      <c r="K209" s="68" t="str">
        <f>"00027603"</f>
        <v>00027603</v>
      </c>
    </row>
    <row r="210" spans="1:11" ht="45" customHeight="1">
      <c r="A210" s="32">
        <v>105</v>
      </c>
      <c r="B210" s="45" t="s">
        <v>429</v>
      </c>
      <c r="C210" s="65" t="s">
        <v>38</v>
      </c>
      <c r="D210" s="66"/>
      <c r="E210" s="59">
        <v>100989</v>
      </c>
      <c r="F210" s="67">
        <v>4</v>
      </c>
      <c r="G210" s="65" t="s">
        <v>1395</v>
      </c>
      <c r="H210" s="32" t="s">
        <v>1396</v>
      </c>
      <c r="I210" s="65" t="s">
        <v>92</v>
      </c>
      <c r="J210" s="65" t="s">
        <v>200</v>
      </c>
      <c r="K210" s="68" t="str">
        <f>"00026874"</f>
        <v>00026874</v>
      </c>
    </row>
    <row r="211" spans="1:11" ht="45" customHeight="1">
      <c r="A211" s="32">
        <v>105</v>
      </c>
      <c r="B211" s="45" t="s">
        <v>1414</v>
      </c>
      <c r="C211" s="65" t="s">
        <v>38</v>
      </c>
      <c r="D211" s="66"/>
      <c r="E211" s="59">
        <v>52424</v>
      </c>
      <c r="F211" s="67">
        <v>4</v>
      </c>
      <c r="G211" s="65" t="s">
        <v>1415</v>
      </c>
      <c r="H211" s="32" t="s">
        <v>1416</v>
      </c>
      <c r="I211" s="65" t="s">
        <v>92</v>
      </c>
      <c r="J211" s="65" t="s">
        <v>167</v>
      </c>
      <c r="K211" s="68" t="str">
        <f>"00032295"</f>
        <v>00032295</v>
      </c>
    </row>
    <row r="212" spans="1:11" ht="45" customHeight="1">
      <c r="A212" s="32">
        <v>105</v>
      </c>
      <c r="B212" s="45" t="s">
        <v>1397</v>
      </c>
      <c r="C212" s="65" t="s">
        <v>38</v>
      </c>
      <c r="D212" s="66"/>
      <c r="E212" s="59">
        <v>104534</v>
      </c>
      <c r="F212" s="67">
        <v>4</v>
      </c>
      <c r="G212" s="65" t="s">
        <v>1398</v>
      </c>
      <c r="H212" s="32" t="s">
        <v>1399</v>
      </c>
      <c r="I212" s="65" t="s">
        <v>107</v>
      </c>
      <c r="J212" s="65" t="s">
        <v>122</v>
      </c>
      <c r="K212" s="68" t="str">
        <f>"00030205"</f>
        <v>00030205</v>
      </c>
    </row>
    <row r="213" spans="1:11" ht="45" customHeight="1">
      <c r="A213" s="32">
        <v>105</v>
      </c>
      <c r="B213" s="49" t="s">
        <v>1375</v>
      </c>
      <c r="C213" s="65" t="s">
        <v>38</v>
      </c>
      <c r="D213" s="66"/>
      <c r="E213" s="59">
        <v>112124</v>
      </c>
      <c r="F213" s="67">
        <v>4</v>
      </c>
      <c r="G213" s="65" t="s">
        <v>1404</v>
      </c>
      <c r="H213" s="32" t="s">
        <v>1405</v>
      </c>
      <c r="I213" s="65" t="s">
        <v>102</v>
      </c>
      <c r="J213" s="65" t="s">
        <v>297</v>
      </c>
      <c r="K213" s="68" t="str">
        <f>"00031260"</f>
        <v>00031260</v>
      </c>
    </row>
    <row r="214" spans="1:11" ht="45" customHeight="1">
      <c r="A214" s="32">
        <v>105</v>
      </c>
      <c r="B214" s="45" t="s">
        <v>1406</v>
      </c>
      <c r="C214" s="65" t="s">
        <v>38</v>
      </c>
      <c r="D214" s="66"/>
      <c r="E214" s="59">
        <v>55124</v>
      </c>
      <c r="F214" s="67">
        <v>4</v>
      </c>
      <c r="G214" s="65" t="s">
        <v>1407</v>
      </c>
      <c r="H214" s="32" t="s">
        <v>1408</v>
      </c>
      <c r="I214" s="65" t="s">
        <v>107</v>
      </c>
      <c r="J214" s="65" t="s">
        <v>648</v>
      </c>
      <c r="K214" s="75" t="s">
        <v>3215</v>
      </c>
    </row>
    <row r="215" spans="1:11" ht="45" customHeight="1">
      <c r="A215" s="32">
        <v>105</v>
      </c>
      <c r="B215" s="45" t="s">
        <v>1409</v>
      </c>
      <c r="C215" s="65" t="s">
        <v>38</v>
      </c>
      <c r="D215" s="66"/>
      <c r="E215" s="59">
        <v>60000</v>
      </c>
      <c r="F215" s="67">
        <v>4</v>
      </c>
      <c r="G215" s="65" t="s">
        <v>1410</v>
      </c>
      <c r="H215" s="32" t="s">
        <v>1411</v>
      </c>
      <c r="I215" s="65" t="s">
        <v>107</v>
      </c>
      <c r="J215" s="70" t="s">
        <v>109</v>
      </c>
      <c r="K215" s="68" t="str">
        <f>"00032462"</f>
        <v>00032462</v>
      </c>
    </row>
    <row r="216" spans="1:11" ht="45" customHeight="1">
      <c r="A216" s="32">
        <v>105</v>
      </c>
      <c r="B216" s="45" t="s">
        <v>433</v>
      </c>
      <c r="C216" s="65" t="s">
        <v>38</v>
      </c>
      <c r="D216" s="66"/>
      <c r="E216" s="59">
        <v>47476</v>
      </c>
      <c r="F216" s="67">
        <v>4</v>
      </c>
      <c r="G216" s="65" t="s">
        <v>1412</v>
      </c>
      <c r="H216" s="32" t="s">
        <v>1413</v>
      </c>
      <c r="I216" s="65" t="s">
        <v>120</v>
      </c>
      <c r="J216" s="65" t="s">
        <v>120</v>
      </c>
      <c r="K216" s="68" t="str">
        <f>"00030518"</f>
        <v>00030518</v>
      </c>
    </row>
    <row r="217" spans="1:11" ht="45" customHeight="1">
      <c r="A217" s="32">
        <v>105</v>
      </c>
      <c r="B217" s="45" t="s">
        <v>3213</v>
      </c>
      <c r="C217" s="65" t="s">
        <v>38</v>
      </c>
      <c r="D217" s="66"/>
      <c r="E217" s="59">
        <v>50000</v>
      </c>
      <c r="F217" s="67">
        <v>4</v>
      </c>
      <c r="G217" s="65" t="s">
        <v>3214</v>
      </c>
      <c r="H217" s="32" t="s">
        <v>1417</v>
      </c>
      <c r="I217" s="65" t="s">
        <v>96</v>
      </c>
      <c r="J217" s="65" t="s">
        <v>1418</v>
      </c>
      <c r="K217" s="68" t="str">
        <f>"00029190"</f>
        <v>00029190</v>
      </c>
    </row>
    <row r="218" spans="1:11" ht="45" customHeight="1">
      <c r="A218" s="32"/>
      <c r="B218" s="58" t="s">
        <v>428</v>
      </c>
      <c r="C218" s="65"/>
      <c r="D218" s="66"/>
      <c r="E218" s="47">
        <f>SUM(E190:E217)</f>
        <v>1800801</v>
      </c>
      <c r="F218" s="67"/>
      <c r="G218" s="65"/>
      <c r="H218" s="32"/>
      <c r="I218" s="65"/>
      <c r="J218" s="65"/>
      <c r="K218" s="68"/>
    </row>
    <row r="219" spans="1:11" ht="45" customHeight="1">
      <c r="A219" s="30"/>
      <c r="B219" s="56" t="s">
        <v>282</v>
      </c>
      <c r="C219" s="45"/>
      <c r="D219" s="46"/>
      <c r="E219" s="47"/>
      <c r="F219" s="30"/>
      <c r="G219" s="45"/>
      <c r="H219" s="45"/>
      <c r="I219" s="45"/>
      <c r="J219" s="45"/>
      <c r="K219" s="45"/>
    </row>
    <row r="220" spans="1:11" ht="45" customHeight="1">
      <c r="A220" s="32">
        <v>105</v>
      </c>
      <c r="B220" s="45" t="s">
        <v>3269</v>
      </c>
      <c r="C220" s="65" t="s">
        <v>38</v>
      </c>
      <c r="D220" s="66"/>
      <c r="E220" s="59">
        <v>10442</v>
      </c>
      <c r="F220" s="67">
        <v>4</v>
      </c>
      <c r="G220" s="65" t="s">
        <v>3270</v>
      </c>
      <c r="H220" s="32" t="s">
        <v>1312</v>
      </c>
      <c r="I220" s="65" t="s">
        <v>92</v>
      </c>
      <c r="J220" s="70" t="s">
        <v>106</v>
      </c>
      <c r="K220" s="68" t="str">
        <f>"00027873"</f>
        <v>00027873</v>
      </c>
    </row>
    <row r="221" spans="1:11" ht="45" customHeight="1">
      <c r="A221" s="32">
        <v>105</v>
      </c>
      <c r="B221" s="45" t="s">
        <v>3271</v>
      </c>
      <c r="C221" s="65" t="s">
        <v>38</v>
      </c>
      <c r="D221" s="66"/>
      <c r="E221" s="59">
        <v>27000</v>
      </c>
      <c r="F221" s="67">
        <v>4</v>
      </c>
      <c r="G221" s="70" t="s">
        <v>3272</v>
      </c>
      <c r="H221" s="32" t="s">
        <v>1313</v>
      </c>
      <c r="I221" s="65" t="s">
        <v>275</v>
      </c>
      <c r="J221" s="70" t="s">
        <v>276</v>
      </c>
      <c r="K221" s="68" t="str">
        <f>"00027957"</f>
        <v>00027957</v>
      </c>
    </row>
    <row r="222" spans="1:11" ht="45" customHeight="1">
      <c r="A222" s="32">
        <v>105</v>
      </c>
      <c r="B222" s="45" t="s">
        <v>3271</v>
      </c>
      <c r="C222" s="65" t="s">
        <v>38</v>
      </c>
      <c r="D222" s="66"/>
      <c r="E222" s="59">
        <v>28520</v>
      </c>
      <c r="F222" s="67">
        <v>4</v>
      </c>
      <c r="G222" s="70" t="s">
        <v>3273</v>
      </c>
      <c r="H222" s="32" t="s">
        <v>1313</v>
      </c>
      <c r="I222" s="65" t="s">
        <v>275</v>
      </c>
      <c r="J222" s="70" t="s">
        <v>276</v>
      </c>
      <c r="K222" s="68" t="str">
        <f>"00027610"</f>
        <v>00027610</v>
      </c>
    </row>
    <row r="223" spans="1:11" ht="45" customHeight="1">
      <c r="A223" s="32">
        <v>105</v>
      </c>
      <c r="B223" s="45" t="s">
        <v>3269</v>
      </c>
      <c r="C223" s="65" t="s">
        <v>38</v>
      </c>
      <c r="D223" s="66"/>
      <c r="E223" s="59">
        <v>55373</v>
      </c>
      <c r="F223" s="67">
        <v>4</v>
      </c>
      <c r="G223" s="65" t="s">
        <v>3274</v>
      </c>
      <c r="H223" s="32" t="s">
        <v>1314</v>
      </c>
      <c r="I223" s="65" t="s">
        <v>92</v>
      </c>
      <c r="J223" s="70" t="s">
        <v>1315</v>
      </c>
      <c r="K223" s="68" t="str">
        <f>"00027587"</f>
        <v>00027587</v>
      </c>
    </row>
    <row r="224" spans="1:11" ht="45" customHeight="1">
      <c r="A224" s="32">
        <v>105</v>
      </c>
      <c r="B224" s="45" t="s">
        <v>3275</v>
      </c>
      <c r="C224" s="65" t="s">
        <v>38</v>
      </c>
      <c r="D224" s="66"/>
      <c r="E224" s="59">
        <v>46635</v>
      </c>
      <c r="F224" s="67">
        <v>4</v>
      </c>
      <c r="G224" s="65" t="s">
        <v>3270</v>
      </c>
      <c r="H224" s="32" t="s">
        <v>1312</v>
      </c>
      <c r="I224" s="65" t="s">
        <v>92</v>
      </c>
      <c r="J224" s="70" t="s">
        <v>106</v>
      </c>
      <c r="K224" s="68" t="str">
        <f>"00027873"</f>
        <v>00027873</v>
      </c>
    </row>
    <row r="225" spans="1:11" ht="45" customHeight="1">
      <c r="A225" s="32">
        <v>105</v>
      </c>
      <c r="B225" s="45" t="s">
        <v>3276</v>
      </c>
      <c r="C225" s="65" t="s">
        <v>38</v>
      </c>
      <c r="D225" s="66"/>
      <c r="E225" s="59">
        <v>46152</v>
      </c>
      <c r="F225" s="67">
        <v>4</v>
      </c>
      <c r="G225" s="65" t="s">
        <v>3277</v>
      </c>
      <c r="H225" s="32" t="s">
        <v>1312</v>
      </c>
      <c r="I225" s="65" t="s">
        <v>92</v>
      </c>
      <c r="J225" s="70" t="s">
        <v>106</v>
      </c>
      <c r="K225" s="68" t="str">
        <f>"00027888"</f>
        <v>00027888</v>
      </c>
    </row>
    <row r="226" spans="1:11" ht="45" customHeight="1">
      <c r="A226" s="32">
        <v>105</v>
      </c>
      <c r="B226" s="45" t="s">
        <v>3278</v>
      </c>
      <c r="C226" s="65" t="s">
        <v>38</v>
      </c>
      <c r="D226" s="66"/>
      <c r="E226" s="59">
        <v>88211</v>
      </c>
      <c r="F226" s="67">
        <v>4</v>
      </c>
      <c r="G226" s="65" t="s">
        <v>3279</v>
      </c>
      <c r="H226" s="32" t="s">
        <v>1303</v>
      </c>
      <c r="I226" s="65" t="s">
        <v>354</v>
      </c>
      <c r="J226" s="70" t="s">
        <v>1304</v>
      </c>
      <c r="K226" s="68" t="str">
        <f>"00028992"</f>
        <v>00028992</v>
      </c>
    </row>
    <row r="227" spans="1:11" ht="45" customHeight="1">
      <c r="A227" s="32">
        <v>105</v>
      </c>
      <c r="B227" s="45" t="s">
        <v>3280</v>
      </c>
      <c r="C227" s="65" t="s">
        <v>38</v>
      </c>
      <c r="D227" s="66"/>
      <c r="E227" s="59">
        <v>100884</v>
      </c>
      <c r="F227" s="67">
        <v>4</v>
      </c>
      <c r="G227" s="65" t="s">
        <v>3281</v>
      </c>
      <c r="H227" s="32" t="s">
        <v>1311</v>
      </c>
      <c r="I227" s="65" t="s">
        <v>107</v>
      </c>
      <c r="J227" s="70" t="s">
        <v>109</v>
      </c>
      <c r="K227" s="68" t="str">
        <f>"00027091"</f>
        <v>00027091</v>
      </c>
    </row>
    <row r="228" spans="1:11" ht="45" customHeight="1">
      <c r="A228" s="32">
        <v>105</v>
      </c>
      <c r="B228" s="45" t="s">
        <v>3282</v>
      </c>
      <c r="C228" s="65" t="s">
        <v>38</v>
      </c>
      <c r="D228" s="66"/>
      <c r="E228" s="59">
        <v>66512</v>
      </c>
      <c r="F228" s="67">
        <v>4</v>
      </c>
      <c r="G228" s="65" t="s">
        <v>3283</v>
      </c>
      <c r="H228" s="32" t="s">
        <v>1307</v>
      </c>
      <c r="I228" s="65" t="s">
        <v>100</v>
      </c>
      <c r="J228" s="70" t="s">
        <v>1301</v>
      </c>
      <c r="K228" s="68" t="str">
        <f>"00029826"</f>
        <v>00029826</v>
      </c>
    </row>
    <row r="229" spans="1:11" ht="45" customHeight="1">
      <c r="A229" s="32">
        <v>105</v>
      </c>
      <c r="B229" s="45" t="s">
        <v>3284</v>
      </c>
      <c r="C229" s="65" t="s">
        <v>38</v>
      </c>
      <c r="D229" s="66"/>
      <c r="E229" s="59">
        <v>24749</v>
      </c>
      <c r="F229" s="67">
        <v>4</v>
      </c>
      <c r="G229" s="65" t="s">
        <v>3285</v>
      </c>
      <c r="H229" s="32" t="s">
        <v>1296</v>
      </c>
      <c r="I229" s="65" t="s">
        <v>177</v>
      </c>
      <c r="J229" s="70" t="s">
        <v>247</v>
      </c>
      <c r="K229" s="68" t="str">
        <f>"00029597"</f>
        <v>00029597</v>
      </c>
    </row>
    <row r="230" spans="1:11" ht="45" customHeight="1">
      <c r="A230" s="32">
        <v>105</v>
      </c>
      <c r="B230" s="45" t="s">
        <v>3278</v>
      </c>
      <c r="C230" s="65" t="s">
        <v>38</v>
      </c>
      <c r="D230" s="66"/>
      <c r="E230" s="59">
        <v>41048</v>
      </c>
      <c r="F230" s="67">
        <v>4</v>
      </c>
      <c r="G230" s="65" t="s">
        <v>3286</v>
      </c>
      <c r="H230" s="32" t="s">
        <v>1298</v>
      </c>
      <c r="I230" s="65" t="s">
        <v>222</v>
      </c>
      <c r="J230" s="70" t="s">
        <v>1299</v>
      </c>
      <c r="K230" s="68" t="str">
        <f>"00029083"</f>
        <v>00029083</v>
      </c>
    </row>
    <row r="231" spans="1:11" ht="45" customHeight="1">
      <c r="A231" s="32">
        <v>105</v>
      </c>
      <c r="B231" s="45" t="s">
        <v>3287</v>
      </c>
      <c r="C231" s="65" t="s">
        <v>38</v>
      </c>
      <c r="D231" s="66"/>
      <c r="E231" s="59">
        <v>83686</v>
      </c>
      <c r="F231" s="67">
        <v>4</v>
      </c>
      <c r="G231" s="69" t="s">
        <v>3288</v>
      </c>
      <c r="H231" s="32" t="s">
        <v>1296</v>
      </c>
      <c r="I231" s="65" t="s">
        <v>177</v>
      </c>
      <c r="J231" s="70" t="s">
        <v>247</v>
      </c>
      <c r="K231" s="68" t="str">
        <f>"00029332"</f>
        <v>00029332</v>
      </c>
    </row>
    <row r="232" spans="1:11" ht="45" customHeight="1">
      <c r="A232" s="32">
        <v>105</v>
      </c>
      <c r="B232" s="45" t="s">
        <v>3289</v>
      </c>
      <c r="C232" s="65" t="s">
        <v>38</v>
      </c>
      <c r="D232" s="66"/>
      <c r="E232" s="59">
        <v>41584</v>
      </c>
      <c r="F232" s="67">
        <v>4</v>
      </c>
      <c r="G232" s="65" t="s">
        <v>3290</v>
      </c>
      <c r="H232" s="32" t="s">
        <v>1300</v>
      </c>
      <c r="I232" s="65" t="s">
        <v>100</v>
      </c>
      <c r="J232" s="70" t="s">
        <v>1301</v>
      </c>
      <c r="K232" s="68" t="str">
        <f>"00029376"</f>
        <v>00029376</v>
      </c>
    </row>
    <row r="233" spans="1:11" ht="45" customHeight="1">
      <c r="A233" s="32">
        <v>105</v>
      </c>
      <c r="B233" s="45" t="s">
        <v>3289</v>
      </c>
      <c r="C233" s="65" t="s">
        <v>38</v>
      </c>
      <c r="D233" s="66"/>
      <c r="E233" s="59">
        <v>40988</v>
      </c>
      <c r="F233" s="67">
        <v>4</v>
      </c>
      <c r="G233" s="65" t="s">
        <v>3291</v>
      </c>
      <c r="H233" s="32" t="s">
        <v>1300</v>
      </c>
      <c r="I233" s="65" t="s">
        <v>100</v>
      </c>
      <c r="J233" s="70" t="s">
        <v>1301</v>
      </c>
      <c r="K233" s="68" t="str">
        <f>"00029335"</f>
        <v>00029335</v>
      </c>
    </row>
    <row r="234" spans="1:11" ht="45" customHeight="1">
      <c r="A234" s="32">
        <v>105</v>
      </c>
      <c r="B234" s="51" t="s">
        <v>3292</v>
      </c>
      <c r="C234" s="65" t="s">
        <v>38</v>
      </c>
      <c r="D234" s="66"/>
      <c r="E234" s="59">
        <v>77729</v>
      </c>
      <c r="F234" s="67">
        <v>4</v>
      </c>
      <c r="G234" s="65" t="s">
        <v>3293</v>
      </c>
      <c r="H234" s="32" t="s">
        <v>1302</v>
      </c>
      <c r="I234" s="65" t="s">
        <v>222</v>
      </c>
      <c r="J234" s="70" t="s">
        <v>1299</v>
      </c>
      <c r="K234" s="68" t="str">
        <f>"00028844"</f>
        <v>00028844</v>
      </c>
    </row>
    <row r="235" spans="1:11" ht="45" customHeight="1">
      <c r="A235" s="32">
        <v>105</v>
      </c>
      <c r="B235" s="45" t="s">
        <v>3294</v>
      </c>
      <c r="C235" s="65" t="s">
        <v>38</v>
      </c>
      <c r="D235" s="66"/>
      <c r="E235" s="59">
        <v>116962</v>
      </c>
      <c r="F235" s="67">
        <v>4</v>
      </c>
      <c r="G235" s="65" t="s">
        <v>3295</v>
      </c>
      <c r="H235" s="32" t="s">
        <v>1305</v>
      </c>
      <c r="I235" s="65" t="s">
        <v>96</v>
      </c>
      <c r="J235" s="70" t="s">
        <v>1306</v>
      </c>
      <c r="K235" s="68" t="str">
        <f>"00029009"</f>
        <v>00029009</v>
      </c>
    </row>
    <row r="236" spans="1:11" ht="45" customHeight="1">
      <c r="A236" s="32">
        <v>105</v>
      </c>
      <c r="B236" s="45" t="s">
        <v>3296</v>
      </c>
      <c r="C236" s="65" t="s">
        <v>38</v>
      </c>
      <c r="D236" s="66"/>
      <c r="E236" s="59">
        <v>60000</v>
      </c>
      <c r="F236" s="67">
        <v>4</v>
      </c>
      <c r="G236" s="70" t="s">
        <v>3297</v>
      </c>
      <c r="H236" s="32" t="s">
        <v>1258</v>
      </c>
      <c r="I236" s="65" t="s">
        <v>100</v>
      </c>
      <c r="J236" s="70" t="s">
        <v>1301</v>
      </c>
      <c r="K236" s="68" t="str">
        <f>"00029104"</f>
        <v>00029104</v>
      </c>
    </row>
    <row r="237" spans="1:11" ht="45" customHeight="1">
      <c r="A237" s="32">
        <v>105</v>
      </c>
      <c r="B237" s="45" t="s">
        <v>3287</v>
      </c>
      <c r="C237" s="65" t="s">
        <v>38</v>
      </c>
      <c r="D237" s="66"/>
      <c r="E237" s="59">
        <v>60000</v>
      </c>
      <c r="F237" s="67">
        <v>4</v>
      </c>
      <c r="G237" s="65" t="s">
        <v>3298</v>
      </c>
      <c r="H237" s="32" t="s">
        <v>1296</v>
      </c>
      <c r="I237" s="65" t="s">
        <v>177</v>
      </c>
      <c r="J237" s="70" t="s">
        <v>247</v>
      </c>
      <c r="K237" s="68" t="str">
        <f>"00029330"</f>
        <v>00029330</v>
      </c>
    </row>
    <row r="238" spans="1:11" ht="45" customHeight="1">
      <c r="A238" s="32">
        <v>105</v>
      </c>
      <c r="B238" s="45" t="s">
        <v>3299</v>
      </c>
      <c r="C238" s="65" t="s">
        <v>38</v>
      </c>
      <c r="D238" s="66"/>
      <c r="E238" s="59">
        <v>100000</v>
      </c>
      <c r="F238" s="67">
        <v>4</v>
      </c>
      <c r="G238" s="65" t="s">
        <v>3300</v>
      </c>
      <c r="H238" s="32" t="s">
        <v>1297</v>
      </c>
      <c r="I238" s="65" t="s">
        <v>107</v>
      </c>
      <c r="J238" s="70" t="s">
        <v>122</v>
      </c>
      <c r="K238" s="68" t="str">
        <f>"00028790"</f>
        <v>00028790</v>
      </c>
    </row>
    <row r="239" spans="1:11" ht="45" customHeight="1">
      <c r="A239" s="32">
        <v>105</v>
      </c>
      <c r="B239" s="51" t="s">
        <v>3301</v>
      </c>
      <c r="C239" s="65" t="s">
        <v>38</v>
      </c>
      <c r="D239" s="66"/>
      <c r="E239" s="59">
        <v>66298</v>
      </c>
      <c r="F239" s="67">
        <v>4</v>
      </c>
      <c r="G239" s="65" t="s">
        <v>3302</v>
      </c>
      <c r="H239" s="32" t="s">
        <v>1294</v>
      </c>
      <c r="I239" s="65" t="s">
        <v>107</v>
      </c>
      <c r="J239" s="70" t="s">
        <v>1220</v>
      </c>
      <c r="K239" s="68" t="str">
        <f>"00029339"</f>
        <v>00029339</v>
      </c>
    </row>
    <row r="240" spans="1:11" ht="45" customHeight="1">
      <c r="A240" s="32">
        <v>105</v>
      </c>
      <c r="B240" s="45" t="s">
        <v>3284</v>
      </c>
      <c r="C240" s="65" t="s">
        <v>38</v>
      </c>
      <c r="D240" s="66"/>
      <c r="E240" s="59">
        <v>24543</v>
      </c>
      <c r="F240" s="67">
        <v>4</v>
      </c>
      <c r="G240" s="65" t="s">
        <v>3285</v>
      </c>
      <c r="H240" s="32" t="s">
        <v>1296</v>
      </c>
      <c r="I240" s="65" t="s">
        <v>177</v>
      </c>
      <c r="J240" s="70" t="s">
        <v>247</v>
      </c>
      <c r="K240" s="68" t="str">
        <f>"00029602"</f>
        <v>00029602</v>
      </c>
    </row>
    <row r="241" spans="1:11" ht="45" customHeight="1">
      <c r="A241" s="32">
        <v>105</v>
      </c>
      <c r="B241" s="45" t="s">
        <v>3284</v>
      </c>
      <c r="C241" s="65" t="s">
        <v>38</v>
      </c>
      <c r="D241" s="66"/>
      <c r="E241" s="59">
        <v>83686</v>
      </c>
      <c r="F241" s="67">
        <v>4</v>
      </c>
      <c r="G241" s="65" t="s">
        <v>3303</v>
      </c>
      <c r="H241" s="32" t="s">
        <v>1296</v>
      </c>
      <c r="I241" s="65" t="s">
        <v>177</v>
      </c>
      <c r="J241" s="70" t="s">
        <v>247</v>
      </c>
      <c r="K241" s="68" t="str">
        <f>"00029331"</f>
        <v>00029331</v>
      </c>
    </row>
    <row r="242" spans="1:11" ht="45" customHeight="1">
      <c r="A242" s="32">
        <v>105</v>
      </c>
      <c r="B242" s="76" t="s">
        <v>3304</v>
      </c>
      <c r="C242" s="65" t="s">
        <v>38</v>
      </c>
      <c r="D242" s="66"/>
      <c r="E242" s="59">
        <v>145481</v>
      </c>
      <c r="F242" s="67">
        <v>4</v>
      </c>
      <c r="G242" s="65" t="s">
        <v>3305</v>
      </c>
      <c r="H242" s="32" t="s">
        <v>1295</v>
      </c>
      <c r="I242" s="65" t="s">
        <v>107</v>
      </c>
      <c r="J242" s="70" t="s">
        <v>969</v>
      </c>
      <c r="K242" s="68" t="str">
        <f>"00029846"</f>
        <v>00029846</v>
      </c>
    </row>
    <row r="243" spans="1:11" ht="45" customHeight="1">
      <c r="A243" s="32">
        <v>105</v>
      </c>
      <c r="B243" s="45" t="s">
        <v>3306</v>
      </c>
      <c r="C243" s="65" t="s">
        <v>38</v>
      </c>
      <c r="D243" s="66"/>
      <c r="E243" s="59">
        <v>100000</v>
      </c>
      <c r="F243" s="67">
        <v>4</v>
      </c>
      <c r="G243" s="65" t="s">
        <v>3307</v>
      </c>
      <c r="H243" s="32" t="s">
        <v>1310</v>
      </c>
      <c r="I243" s="65" t="s">
        <v>179</v>
      </c>
      <c r="J243" s="70" t="s">
        <v>1309</v>
      </c>
      <c r="K243" s="68" t="str">
        <f>"00028933"</f>
        <v>00028933</v>
      </c>
    </row>
    <row r="244" spans="1:11" ht="45" customHeight="1">
      <c r="A244" s="32">
        <v>105</v>
      </c>
      <c r="B244" s="45" t="s">
        <v>3308</v>
      </c>
      <c r="C244" s="65" t="s">
        <v>38</v>
      </c>
      <c r="D244" s="66"/>
      <c r="E244" s="59">
        <v>115944</v>
      </c>
      <c r="F244" s="67">
        <v>4</v>
      </c>
      <c r="G244" s="65" t="s">
        <v>3309</v>
      </c>
      <c r="H244" s="32" t="s">
        <v>1308</v>
      </c>
      <c r="I244" s="65" t="s">
        <v>179</v>
      </c>
      <c r="J244" s="70" t="s">
        <v>1309</v>
      </c>
      <c r="K244" s="68" t="str">
        <f>"00030351"</f>
        <v>00030351</v>
      </c>
    </row>
    <row r="245" spans="1:11" ht="45" customHeight="1">
      <c r="A245" s="32">
        <v>105</v>
      </c>
      <c r="B245" s="45" t="s">
        <v>3310</v>
      </c>
      <c r="C245" s="65" t="s">
        <v>38</v>
      </c>
      <c r="D245" s="66"/>
      <c r="E245" s="59">
        <v>76849</v>
      </c>
      <c r="F245" s="67">
        <v>4</v>
      </c>
      <c r="G245" s="65" t="s">
        <v>3311</v>
      </c>
      <c r="H245" s="32" t="s">
        <v>1316</v>
      </c>
      <c r="I245" s="65" t="s">
        <v>107</v>
      </c>
      <c r="J245" s="70" t="s">
        <v>1220</v>
      </c>
      <c r="K245" s="68" t="str">
        <f>"00029399"</f>
        <v>00029399</v>
      </c>
    </row>
    <row r="246" spans="1:11" ht="45" customHeight="1">
      <c r="A246" s="32">
        <v>105</v>
      </c>
      <c r="B246" s="45" t="s">
        <v>3312</v>
      </c>
      <c r="C246" s="65" t="s">
        <v>38</v>
      </c>
      <c r="D246" s="66"/>
      <c r="E246" s="59">
        <v>46833</v>
      </c>
      <c r="F246" s="67">
        <v>4</v>
      </c>
      <c r="G246" s="71" t="s">
        <v>3313</v>
      </c>
      <c r="H246" s="32" t="s">
        <v>853</v>
      </c>
      <c r="I246" s="65" t="s">
        <v>275</v>
      </c>
      <c r="J246" s="70" t="s">
        <v>276</v>
      </c>
      <c r="K246" s="68" t="str">
        <f>"00030571"</f>
        <v>00030571</v>
      </c>
    </row>
    <row r="247" spans="1:11" ht="45" customHeight="1">
      <c r="A247" s="32">
        <v>105</v>
      </c>
      <c r="B247" s="45" t="s">
        <v>3269</v>
      </c>
      <c r="C247" s="65" t="s">
        <v>38</v>
      </c>
      <c r="D247" s="66"/>
      <c r="E247" s="59">
        <v>19257</v>
      </c>
      <c r="F247" s="67">
        <v>4</v>
      </c>
      <c r="G247" s="65" t="s">
        <v>3314</v>
      </c>
      <c r="H247" s="32" t="s">
        <v>1332</v>
      </c>
      <c r="I247" s="65" t="s">
        <v>92</v>
      </c>
      <c r="J247" s="70" t="s">
        <v>1333</v>
      </c>
      <c r="K247" s="68" t="str">
        <f>"00032407"</f>
        <v>00032407</v>
      </c>
    </row>
    <row r="248" spans="1:11" ht="45" customHeight="1">
      <c r="A248" s="32">
        <v>105</v>
      </c>
      <c r="B248" s="45" t="s">
        <v>3315</v>
      </c>
      <c r="C248" s="65" t="s">
        <v>38</v>
      </c>
      <c r="D248" s="66"/>
      <c r="E248" s="59">
        <v>46830</v>
      </c>
      <c r="F248" s="67">
        <v>4</v>
      </c>
      <c r="G248" s="69" t="s">
        <v>3316</v>
      </c>
      <c r="H248" s="32" t="s">
        <v>1317</v>
      </c>
      <c r="I248" s="65" t="s">
        <v>120</v>
      </c>
      <c r="J248" s="70" t="s">
        <v>120</v>
      </c>
      <c r="K248" s="68" t="str">
        <f>"00031560"</f>
        <v>00031560</v>
      </c>
    </row>
    <row r="249" spans="1:11" ht="45" customHeight="1">
      <c r="A249" s="32">
        <v>105</v>
      </c>
      <c r="B249" s="45" t="s">
        <v>3317</v>
      </c>
      <c r="C249" s="65" t="s">
        <v>38</v>
      </c>
      <c r="D249" s="66"/>
      <c r="E249" s="59">
        <v>65418</v>
      </c>
      <c r="F249" s="67">
        <v>4</v>
      </c>
      <c r="G249" s="65" t="s">
        <v>3318</v>
      </c>
      <c r="H249" s="32" t="s">
        <v>1334</v>
      </c>
      <c r="I249" s="65" t="s">
        <v>1335</v>
      </c>
      <c r="J249" s="70" t="s">
        <v>1336</v>
      </c>
      <c r="K249" s="68" t="str">
        <f>"00031760"</f>
        <v>00031760</v>
      </c>
    </row>
    <row r="250" spans="1:11" ht="45" customHeight="1">
      <c r="A250" s="32">
        <v>105</v>
      </c>
      <c r="B250" s="45" t="s">
        <v>3282</v>
      </c>
      <c r="C250" s="65" t="s">
        <v>38</v>
      </c>
      <c r="D250" s="66"/>
      <c r="E250" s="59">
        <v>56990</v>
      </c>
      <c r="F250" s="67">
        <v>4</v>
      </c>
      <c r="G250" s="65" t="s">
        <v>3319</v>
      </c>
      <c r="H250" s="32" t="s">
        <v>1325</v>
      </c>
      <c r="I250" s="65" t="s">
        <v>107</v>
      </c>
      <c r="J250" s="70" t="s">
        <v>1326</v>
      </c>
      <c r="K250" s="68" t="str">
        <f>"00032018"</f>
        <v>00032018</v>
      </c>
    </row>
    <row r="251" spans="1:11" ht="45" customHeight="1">
      <c r="A251" s="32">
        <v>105</v>
      </c>
      <c r="B251" s="45" t="s">
        <v>3320</v>
      </c>
      <c r="C251" s="65" t="s">
        <v>38</v>
      </c>
      <c r="D251" s="66"/>
      <c r="E251" s="59">
        <v>90096</v>
      </c>
      <c r="F251" s="67">
        <v>4</v>
      </c>
      <c r="G251" s="65" t="s">
        <v>3321</v>
      </c>
      <c r="H251" s="32" t="s">
        <v>1235</v>
      </c>
      <c r="I251" s="65" t="s">
        <v>107</v>
      </c>
      <c r="J251" s="70" t="s">
        <v>108</v>
      </c>
      <c r="K251" s="68" t="str">
        <f>"00031743"</f>
        <v>00031743</v>
      </c>
    </row>
    <row r="252" spans="1:11" ht="45" customHeight="1">
      <c r="A252" s="32">
        <v>105</v>
      </c>
      <c r="B252" s="45" t="s">
        <v>3322</v>
      </c>
      <c r="C252" s="65" t="s">
        <v>38</v>
      </c>
      <c r="D252" s="66"/>
      <c r="E252" s="59">
        <v>85595</v>
      </c>
      <c r="F252" s="67">
        <v>4</v>
      </c>
      <c r="G252" s="65" t="s">
        <v>3323</v>
      </c>
      <c r="H252" s="32" t="s">
        <v>1327</v>
      </c>
      <c r="I252" s="65" t="s">
        <v>107</v>
      </c>
      <c r="J252" s="70" t="s">
        <v>1328</v>
      </c>
      <c r="K252" s="68" t="str">
        <f>"00031892"</f>
        <v>00031892</v>
      </c>
    </row>
    <row r="253" spans="1:11" ht="45" customHeight="1">
      <c r="A253" s="32">
        <v>105</v>
      </c>
      <c r="B253" s="45" t="s">
        <v>3324</v>
      </c>
      <c r="C253" s="65" t="s">
        <v>38</v>
      </c>
      <c r="D253" s="66"/>
      <c r="E253" s="59">
        <v>47701</v>
      </c>
      <c r="F253" s="67">
        <v>4</v>
      </c>
      <c r="G253" s="65" t="s">
        <v>3325</v>
      </c>
      <c r="H253" s="32" t="s">
        <v>1318</v>
      </c>
      <c r="I253" s="69" t="s">
        <v>1319</v>
      </c>
      <c r="J253" s="70" t="s">
        <v>1320</v>
      </c>
      <c r="K253" s="68" t="str">
        <f>"00031269"</f>
        <v>00031269</v>
      </c>
    </row>
    <row r="254" spans="1:11" ht="45" customHeight="1">
      <c r="A254" s="32">
        <v>105</v>
      </c>
      <c r="B254" s="45" t="s">
        <v>3326</v>
      </c>
      <c r="C254" s="65" t="s">
        <v>38</v>
      </c>
      <c r="D254" s="66"/>
      <c r="E254" s="59">
        <v>75000</v>
      </c>
      <c r="F254" s="67">
        <v>4</v>
      </c>
      <c r="G254" s="65" t="s">
        <v>3327</v>
      </c>
      <c r="H254" s="32" t="s">
        <v>1329</v>
      </c>
      <c r="I254" s="65" t="s">
        <v>1330</v>
      </c>
      <c r="J254" s="70" t="s">
        <v>1331</v>
      </c>
      <c r="K254" s="68" t="str">
        <f>"00031374"</f>
        <v>00031374</v>
      </c>
    </row>
    <row r="255" spans="1:11" ht="45" customHeight="1">
      <c r="A255" s="32">
        <v>105</v>
      </c>
      <c r="B255" s="45" t="s">
        <v>3328</v>
      </c>
      <c r="C255" s="65" t="s">
        <v>38</v>
      </c>
      <c r="D255" s="66"/>
      <c r="E255" s="59">
        <v>77276</v>
      </c>
      <c r="F255" s="67">
        <v>4</v>
      </c>
      <c r="G255" s="65" t="s">
        <v>3329</v>
      </c>
      <c r="H255" s="32" t="s">
        <v>1321</v>
      </c>
      <c r="I255" s="65" t="s">
        <v>104</v>
      </c>
      <c r="J255" s="70" t="s">
        <v>1322</v>
      </c>
      <c r="K255" s="68" t="str">
        <f>"00031095"</f>
        <v>00031095</v>
      </c>
    </row>
    <row r="256" spans="1:11" ht="45" customHeight="1">
      <c r="A256" s="32">
        <v>105</v>
      </c>
      <c r="B256" s="45" t="s">
        <v>3322</v>
      </c>
      <c r="C256" s="65" t="s">
        <v>38</v>
      </c>
      <c r="D256" s="66"/>
      <c r="E256" s="59">
        <v>65020</v>
      </c>
      <c r="F256" s="67">
        <v>4</v>
      </c>
      <c r="G256" s="65" t="s">
        <v>3330</v>
      </c>
      <c r="H256" s="32" t="s">
        <v>1323</v>
      </c>
      <c r="I256" s="65" t="s">
        <v>107</v>
      </c>
      <c r="J256" s="70" t="s">
        <v>1324</v>
      </c>
      <c r="K256" s="68" t="str">
        <f>"00031701"</f>
        <v>00031701</v>
      </c>
    </row>
    <row r="257" spans="1:11" ht="45" customHeight="1">
      <c r="A257" s="32">
        <v>105</v>
      </c>
      <c r="B257" s="45" t="s">
        <v>3326</v>
      </c>
      <c r="C257" s="65" t="s">
        <v>38</v>
      </c>
      <c r="D257" s="66"/>
      <c r="E257" s="59">
        <v>75000</v>
      </c>
      <c r="F257" s="67">
        <v>4</v>
      </c>
      <c r="G257" s="69" t="s">
        <v>3331</v>
      </c>
      <c r="H257" s="32" t="s">
        <v>1318</v>
      </c>
      <c r="I257" s="69" t="s">
        <v>1319</v>
      </c>
      <c r="J257" s="70" t="s">
        <v>1320</v>
      </c>
      <c r="K257" s="68" t="str">
        <f>"00031269"</f>
        <v>00031269</v>
      </c>
    </row>
    <row r="258" spans="1:11" ht="45" customHeight="1">
      <c r="A258" s="32">
        <v>105</v>
      </c>
      <c r="B258" s="45" t="s">
        <v>3332</v>
      </c>
      <c r="C258" s="65" t="s">
        <v>38</v>
      </c>
      <c r="D258" s="66"/>
      <c r="E258" s="59">
        <v>66500</v>
      </c>
      <c r="F258" s="67">
        <v>4</v>
      </c>
      <c r="G258" s="69" t="s">
        <v>3333</v>
      </c>
      <c r="H258" s="32" t="s">
        <v>1337</v>
      </c>
      <c r="I258" s="65" t="s">
        <v>116</v>
      </c>
      <c r="J258" s="70" t="s">
        <v>1338</v>
      </c>
      <c r="K258" s="68" t="str">
        <f>"00031616"</f>
        <v>00031616</v>
      </c>
    </row>
    <row r="259" spans="1:11" ht="45" customHeight="1">
      <c r="A259" s="32">
        <v>105</v>
      </c>
      <c r="B259" s="45" t="s">
        <v>3334</v>
      </c>
      <c r="C259" s="65" t="s">
        <v>38</v>
      </c>
      <c r="D259" s="66"/>
      <c r="E259" s="59">
        <v>65000</v>
      </c>
      <c r="F259" s="67">
        <v>4</v>
      </c>
      <c r="G259" s="65" t="s">
        <v>3335</v>
      </c>
      <c r="H259" s="32" t="s">
        <v>1343</v>
      </c>
      <c r="I259" s="65" t="s">
        <v>107</v>
      </c>
      <c r="J259" s="70" t="s">
        <v>1220</v>
      </c>
      <c r="K259" s="68" t="str">
        <f>"00029358"</f>
        <v>00029358</v>
      </c>
    </row>
    <row r="260" spans="1:11" ht="45" customHeight="1">
      <c r="A260" s="32">
        <v>105</v>
      </c>
      <c r="B260" s="45" t="s">
        <v>3336</v>
      </c>
      <c r="C260" s="65" t="s">
        <v>38</v>
      </c>
      <c r="D260" s="66"/>
      <c r="E260" s="59">
        <v>12800</v>
      </c>
      <c r="F260" s="67">
        <v>4</v>
      </c>
      <c r="G260" s="65" t="s">
        <v>3337</v>
      </c>
      <c r="H260" s="32" t="s">
        <v>1337</v>
      </c>
      <c r="I260" s="65" t="s">
        <v>116</v>
      </c>
      <c r="J260" s="70" t="s">
        <v>1338</v>
      </c>
      <c r="K260" s="68" t="str">
        <f>"00031616"</f>
        <v>00031616</v>
      </c>
    </row>
    <row r="261" spans="1:11" ht="45" customHeight="1">
      <c r="A261" s="32">
        <v>105</v>
      </c>
      <c r="B261" s="45" t="s">
        <v>3338</v>
      </c>
      <c r="C261" s="65" t="s">
        <v>38</v>
      </c>
      <c r="D261" s="66"/>
      <c r="E261" s="59">
        <v>50192</v>
      </c>
      <c r="F261" s="67">
        <v>4</v>
      </c>
      <c r="G261" s="65" t="s">
        <v>3339</v>
      </c>
      <c r="H261" s="32" t="s">
        <v>1341</v>
      </c>
      <c r="I261" s="65" t="s">
        <v>269</v>
      </c>
      <c r="J261" s="70" t="s">
        <v>1342</v>
      </c>
      <c r="K261" s="68" t="str">
        <f>"00031213"</f>
        <v>00031213</v>
      </c>
    </row>
    <row r="262" spans="1:11" ht="45" customHeight="1">
      <c r="A262" s="32">
        <v>105</v>
      </c>
      <c r="B262" s="45" t="s">
        <v>3340</v>
      </c>
      <c r="C262" s="65" t="s">
        <v>38</v>
      </c>
      <c r="D262" s="66"/>
      <c r="E262" s="59">
        <v>50656</v>
      </c>
      <c r="F262" s="67">
        <v>4</v>
      </c>
      <c r="G262" s="65" t="s">
        <v>3341</v>
      </c>
      <c r="H262" s="32" t="s">
        <v>1345</v>
      </c>
      <c r="I262" s="65" t="s">
        <v>91</v>
      </c>
      <c r="J262" s="70" t="s">
        <v>284</v>
      </c>
      <c r="K262" s="68" t="str">
        <f>"00030786"</f>
        <v>00030786</v>
      </c>
    </row>
    <row r="263" spans="1:11" ht="45" customHeight="1">
      <c r="A263" s="32">
        <v>105</v>
      </c>
      <c r="B263" s="45" t="s">
        <v>3336</v>
      </c>
      <c r="C263" s="65" t="s">
        <v>38</v>
      </c>
      <c r="D263" s="66"/>
      <c r="E263" s="59">
        <v>60690</v>
      </c>
      <c r="F263" s="67">
        <v>4</v>
      </c>
      <c r="G263" s="65" t="s">
        <v>3342</v>
      </c>
      <c r="H263" s="32" t="s">
        <v>1339</v>
      </c>
      <c r="I263" s="65" t="s">
        <v>116</v>
      </c>
      <c r="J263" s="70" t="s">
        <v>281</v>
      </c>
      <c r="K263" s="68" t="str">
        <f>"00031598"</f>
        <v>00031598</v>
      </c>
    </row>
    <row r="264" spans="1:11" ht="45" customHeight="1">
      <c r="A264" s="32">
        <v>105</v>
      </c>
      <c r="B264" s="45" t="s">
        <v>3343</v>
      </c>
      <c r="C264" s="65" t="s">
        <v>38</v>
      </c>
      <c r="D264" s="66"/>
      <c r="E264" s="59">
        <v>52805</v>
      </c>
      <c r="F264" s="67">
        <v>4</v>
      </c>
      <c r="G264" s="65" t="s">
        <v>3344</v>
      </c>
      <c r="H264" s="32" t="s">
        <v>1339</v>
      </c>
      <c r="I264" s="65" t="s">
        <v>116</v>
      </c>
      <c r="J264" s="70" t="s">
        <v>281</v>
      </c>
      <c r="K264" s="68" t="str">
        <f>"00031599"</f>
        <v>00031599</v>
      </c>
    </row>
    <row r="265" spans="1:11" ht="45" customHeight="1">
      <c r="A265" s="32">
        <v>105</v>
      </c>
      <c r="B265" s="45" t="s">
        <v>3336</v>
      </c>
      <c r="C265" s="65" t="s">
        <v>38</v>
      </c>
      <c r="D265" s="66"/>
      <c r="E265" s="59">
        <v>12800</v>
      </c>
      <c r="F265" s="67">
        <v>4</v>
      </c>
      <c r="G265" s="65" t="s">
        <v>3345</v>
      </c>
      <c r="H265" s="32" t="s">
        <v>1339</v>
      </c>
      <c r="I265" s="65" t="s">
        <v>116</v>
      </c>
      <c r="J265" s="70" t="s">
        <v>281</v>
      </c>
      <c r="K265" s="68" t="str">
        <f>"00031609"</f>
        <v>00031609</v>
      </c>
    </row>
    <row r="266" spans="1:11" ht="45" customHeight="1">
      <c r="A266" s="32">
        <v>105</v>
      </c>
      <c r="B266" s="45" t="s">
        <v>3336</v>
      </c>
      <c r="C266" s="65" t="s">
        <v>38</v>
      </c>
      <c r="D266" s="66"/>
      <c r="E266" s="59">
        <v>60905</v>
      </c>
      <c r="F266" s="67">
        <v>4</v>
      </c>
      <c r="G266" s="65" t="s">
        <v>3346</v>
      </c>
      <c r="H266" s="32" t="s">
        <v>1340</v>
      </c>
      <c r="I266" s="65" t="s">
        <v>116</v>
      </c>
      <c r="J266" s="70" t="s">
        <v>281</v>
      </c>
      <c r="K266" s="68" t="str">
        <f>"00031597"</f>
        <v>00031597</v>
      </c>
    </row>
    <row r="267" spans="1:11" ht="45" customHeight="1">
      <c r="A267" s="32">
        <v>105</v>
      </c>
      <c r="B267" s="49" t="s">
        <v>3347</v>
      </c>
      <c r="C267" s="65" t="s">
        <v>38</v>
      </c>
      <c r="D267" s="66"/>
      <c r="E267" s="59">
        <v>41520</v>
      </c>
      <c r="F267" s="67">
        <v>4</v>
      </c>
      <c r="G267" s="65" t="s">
        <v>3348</v>
      </c>
      <c r="H267" s="32" t="s">
        <v>1347</v>
      </c>
      <c r="I267" s="65" t="s">
        <v>104</v>
      </c>
      <c r="J267" s="70" t="s">
        <v>176</v>
      </c>
      <c r="K267" s="73" t="s">
        <v>3360</v>
      </c>
    </row>
    <row r="268" spans="1:11" ht="45" customHeight="1">
      <c r="A268" s="32">
        <v>105</v>
      </c>
      <c r="B268" s="49" t="s">
        <v>3347</v>
      </c>
      <c r="C268" s="65" t="s">
        <v>38</v>
      </c>
      <c r="D268" s="66"/>
      <c r="E268" s="59">
        <v>40960</v>
      </c>
      <c r="F268" s="67">
        <v>4</v>
      </c>
      <c r="G268" s="65" t="s">
        <v>3349</v>
      </c>
      <c r="H268" s="32" t="s">
        <v>308</v>
      </c>
      <c r="I268" s="65" t="s">
        <v>104</v>
      </c>
      <c r="J268" s="70" t="s">
        <v>176</v>
      </c>
      <c r="K268" s="73" t="s">
        <v>3361</v>
      </c>
    </row>
    <row r="269" spans="1:11" ht="45" customHeight="1">
      <c r="A269" s="32">
        <v>105</v>
      </c>
      <c r="B269" s="45" t="s">
        <v>3350</v>
      </c>
      <c r="C269" s="65" t="s">
        <v>38</v>
      </c>
      <c r="D269" s="66"/>
      <c r="E269" s="59">
        <v>64491</v>
      </c>
      <c r="F269" s="67">
        <v>4</v>
      </c>
      <c r="G269" s="65" t="s">
        <v>3351</v>
      </c>
      <c r="H269" s="32" t="s">
        <v>1346</v>
      </c>
      <c r="I269" s="65" t="s">
        <v>92</v>
      </c>
      <c r="J269" s="70" t="s">
        <v>110</v>
      </c>
      <c r="K269" s="68" t="str">
        <f>"00030191"</f>
        <v>00030191</v>
      </c>
    </row>
    <row r="270" spans="1:11" ht="45" customHeight="1">
      <c r="A270" s="32">
        <v>105</v>
      </c>
      <c r="B270" s="45" t="s">
        <v>3352</v>
      </c>
      <c r="C270" s="65" t="s">
        <v>38</v>
      </c>
      <c r="D270" s="66"/>
      <c r="E270" s="59">
        <v>52192</v>
      </c>
      <c r="F270" s="67">
        <v>4</v>
      </c>
      <c r="G270" s="65" t="s">
        <v>3353</v>
      </c>
      <c r="H270" s="32" t="s">
        <v>1298</v>
      </c>
      <c r="I270" s="65" t="s">
        <v>222</v>
      </c>
      <c r="J270" s="70" t="s">
        <v>1299</v>
      </c>
      <c r="K270" s="68" t="str">
        <f>"00029083"</f>
        <v>00029083</v>
      </c>
    </row>
    <row r="271" spans="1:11" ht="45" customHeight="1">
      <c r="A271" s="32">
        <v>105</v>
      </c>
      <c r="B271" s="51" t="s">
        <v>3354</v>
      </c>
      <c r="C271" s="65" t="s">
        <v>38</v>
      </c>
      <c r="D271" s="66"/>
      <c r="E271" s="59">
        <v>52192</v>
      </c>
      <c r="F271" s="67">
        <v>4</v>
      </c>
      <c r="G271" s="65" t="s">
        <v>3355</v>
      </c>
      <c r="H271" s="32" t="s">
        <v>1296</v>
      </c>
      <c r="I271" s="65" t="s">
        <v>177</v>
      </c>
      <c r="J271" s="70" t="s">
        <v>247</v>
      </c>
      <c r="K271" s="68" t="str">
        <f>"00029597"</f>
        <v>00029597</v>
      </c>
    </row>
    <row r="272" spans="1:11" ht="45" customHeight="1">
      <c r="A272" s="32">
        <v>105</v>
      </c>
      <c r="B272" s="45" t="s">
        <v>3356</v>
      </c>
      <c r="C272" s="65" t="s">
        <v>38</v>
      </c>
      <c r="D272" s="66"/>
      <c r="E272" s="59">
        <v>50000</v>
      </c>
      <c r="F272" s="67">
        <v>4</v>
      </c>
      <c r="G272" s="65" t="s">
        <v>3357</v>
      </c>
      <c r="H272" s="32" t="s">
        <v>1300</v>
      </c>
      <c r="I272" s="65" t="s">
        <v>100</v>
      </c>
      <c r="J272" s="70" t="s">
        <v>1301</v>
      </c>
      <c r="K272" s="68" t="str">
        <f>"00029413"</f>
        <v>00029413</v>
      </c>
    </row>
    <row r="273" spans="1:11" ht="45" customHeight="1">
      <c r="A273" s="32">
        <v>105</v>
      </c>
      <c r="B273" s="45" t="s">
        <v>3358</v>
      </c>
      <c r="C273" s="65" t="s">
        <v>38</v>
      </c>
      <c r="D273" s="66"/>
      <c r="E273" s="59">
        <v>53400</v>
      </c>
      <c r="F273" s="67">
        <v>4</v>
      </c>
      <c r="G273" s="65" t="s">
        <v>3359</v>
      </c>
      <c r="H273" s="32" t="s">
        <v>1344</v>
      </c>
      <c r="I273" s="65" t="s">
        <v>116</v>
      </c>
      <c r="J273" s="70" t="s">
        <v>168</v>
      </c>
      <c r="K273" s="68" t="str">
        <f>"00026973"</f>
        <v>00026973</v>
      </c>
    </row>
    <row r="274" spans="1:11" ht="45" customHeight="1">
      <c r="A274" s="32">
        <v>105</v>
      </c>
      <c r="B274" s="45" t="s">
        <v>3363</v>
      </c>
      <c r="C274" s="65" t="s">
        <v>38</v>
      </c>
      <c r="D274" s="66"/>
      <c r="E274" s="59">
        <v>15000</v>
      </c>
      <c r="F274" s="67">
        <v>4</v>
      </c>
      <c r="G274" s="65" t="s">
        <v>3364</v>
      </c>
      <c r="H274" s="32" t="s">
        <v>3362</v>
      </c>
      <c r="I274" s="65" t="s">
        <v>100</v>
      </c>
      <c r="J274" s="70" t="s">
        <v>1301</v>
      </c>
      <c r="K274" s="68" t="str">
        <f>"00029419"</f>
        <v>00029419</v>
      </c>
    </row>
    <row r="275" spans="1:11" ht="45" customHeight="1">
      <c r="A275" s="30"/>
      <c r="B275" s="58" t="s">
        <v>121</v>
      </c>
      <c r="C275" s="45"/>
      <c r="D275" s="46"/>
      <c r="E275" s="47">
        <f>SUM(E220:E274)</f>
        <v>3282395</v>
      </c>
      <c r="F275" s="48"/>
      <c r="G275" s="45"/>
      <c r="H275" s="30"/>
      <c r="I275" s="45"/>
      <c r="J275" s="45"/>
      <c r="K275" s="50"/>
    </row>
    <row r="276" spans="1:11" ht="45" customHeight="1">
      <c r="A276" s="32"/>
      <c r="B276" s="56" t="s">
        <v>632</v>
      </c>
      <c r="C276" s="65"/>
      <c r="D276" s="66"/>
      <c r="E276" s="59"/>
      <c r="F276" s="67"/>
      <c r="G276" s="65"/>
      <c r="H276" s="32"/>
      <c r="I276" s="65"/>
      <c r="J276" s="65"/>
      <c r="K276" s="68"/>
    </row>
    <row r="277" spans="1:11" ht="45" customHeight="1">
      <c r="A277" s="32">
        <v>105</v>
      </c>
      <c r="B277" s="45" t="s">
        <v>626</v>
      </c>
      <c r="C277" s="65" t="s">
        <v>38</v>
      </c>
      <c r="D277" s="66"/>
      <c r="E277" s="59">
        <v>60997</v>
      </c>
      <c r="F277" s="67">
        <v>4</v>
      </c>
      <c r="G277" s="71" t="s">
        <v>1447</v>
      </c>
      <c r="H277" s="32" t="s">
        <v>1448</v>
      </c>
      <c r="I277" s="65" t="s">
        <v>92</v>
      </c>
      <c r="J277" s="65" t="s">
        <v>110</v>
      </c>
      <c r="K277" s="148" t="s">
        <v>6084</v>
      </c>
    </row>
    <row r="278" spans="1:11" ht="45" customHeight="1">
      <c r="A278" s="32">
        <v>105</v>
      </c>
      <c r="B278" s="45" t="s">
        <v>1424</v>
      </c>
      <c r="C278" s="65" t="s">
        <v>38</v>
      </c>
      <c r="D278" s="66"/>
      <c r="E278" s="59">
        <v>180506</v>
      </c>
      <c r="F278" s="67">
        <v>4</v>
      </c>
      <c r="G278" s="70" t="s">
        <v>1449</v>
      </c>
      <c r="H278" s="32" t="s">
        <v>1450</v>
      </c>
      <c r="I278" s="65" t="s">
        <v>107</v>
      </c>
      <c r="J278" s="72" t="s">
        <v>369</v>
      </c>
      <c r="K278" s="68" t="str">
        <f>"00027914"</f>
        <v>00027914</v>
      </c>
    </row>
    <row r="279" spans="1:11" ht="45" customHeight="1">
      <c r="A279" s="32">
        <v>105</v>
      </c>
      <c r="B279" s="45" t="s">
        <v>1422</v>
      </c>
      <c r="C279" s="65" t="s">
        <v>38</v>
      </c>
      <c r="D279" s="66"/>
      <c r="E279" s="59">
        <v>121320</v>
      </c>
      <c r="F279" s="67">
        <v>4</v>
      </c>
      <c r="G279" s="65" t="s">
        <v>1423</v>
      </c>
      <c r="H279" s="32" t="s">
        <v>913</v>
      </c>
      <c r="I279" s="65" t="s">
        <v>107</v>
      </c>
      <c r="J279" s="65" t="s">
        <v>810</v>
      </c>
      <c r="K279" s="148" t="s">
        <v>6085</v>
      </c>
    </row>
    <row r="280" spans="1:11" ht="45" customHeight="1">
      <c r="A280" s="32">
        <v>105</v>
      </c>
      <c r="B280" s="45" t="s">
        <v>1424</v>
      </c>
      <c r="C280" s="65" t="s">
        <v>38</v>
      </c>
      <c r="D280" s="66"/>
      <c r="E280" s="59">
        <v>135699</v>
      </c>
      <c r="F280" s="67">
        <v>4</v>
      </c>
      <c r="G280" s="65" t="s">
        <v>1423</v>
      </c>
      <c r="H280" s="32" t="s">
        <v>913</v>
      </c>
      <c r="I280" s="65" t="s">
        <v>107</v>
      </c>
      <c r="J280" s="65" t="s">
        <v>810</v>
      </c>
      <c r="K280" s="68" t="str">
        <f>"00029875"</f>
        <v>00029875</v>
      </c>
    </row>
    <row r="281" spans="1:11" ht="45" customHeight="1">
      <c r="A281" s="32">
        <v>105</v>
      </c>
      <c r="B281" s="51" t="s">
        <v>719</v>
      </c>
      <c r="C281" s="65" t="s">
        <v>38</v>
      </c>
      <c r="D281" s="66"/>
      <c r="E281" s="59">
        <v>118146</v>
      </c>
      <c r="F281" s="67">
        <v>4</v>
      </c>
      <c r="G281" s="65" t="s">
        <v>1425</v>
      </c>
      <c r="H281" s="32" t="s">
        <v>1426</v>
      </c>
      <c r="I281" s="65" t="s">
        <v>107</v>
      </c>
      <c r="J281" s="65" t="s">
        <v>817</v>
      </c>
      <c r="K281" s="68" t="str">
        <f>"00029847"</f>
        <v>00029847</v>
      </c>
    </row>
    <row r="282" spans="1:11" ht="45" customHeight="1">
      <c r="A282" s="32">
        <v>105</v>
      </c>
      <c r="B282" s="51" t="s">
        <v>719</v>
      </c>
      <c r="C282" s="65" t="s">
        <v>38</v>
      </c>
      <c r="D282" s="66"/>
      <c r="E282" s="59">
        <v>112587</v>
      </c>
      <c r="F282" s="67">
        <v>4</v>
      </c>
      <c r="G282" s="65" t="s">
        <v>1425</v>
      </c>
      <c r="H282" s="32" t="s">
        <v>1426</v>
      </c>
      <c r="I282" s="65" t="s">
        <v>107</v>
      </c>
      <c r="J282" s="65" t="s">
        <v>817</v>
      </c>
      <c r="K282" s="68" t="str">
        <f>"00029893"</f>
        <v>00029893</v>
      </c>
    </row>
    <row r="283" spans="1:11" ht="45" customHeight="1">
      <c r="A283" s="32">
        <v>105</v>
      </c>
      <c r="B283" s="51" t="s">
        <v>629</v>
      </c>
      <c r="C283" s="65" t="s">
        <v>38</v>
      </c>
      <c r="D283" s="66"/>
      <c r="E283" s="59">
        <v>103333</v>
      </c>
      <c r="F283" s="67">
        <v>4</v>
      </c>
      <c r="G283" s="69" t="s">
        <v>1445</v>
      </c>
      <c r="H283" s="32" t="s">
        <v>1132</v>
      </c>
      <c r="I283" s="65" t="s">
        <v>107</v>
      </c>
      <c r="J283" s="65" t="s">
        <v>1446</v>
      </c>
      <c r="K283" s="68" t="str">
        <f>"00028635"</f>
        <v>00028635</v>
      </c>
    </row>
    <row r="284" spans="1:11" ht="45" customHeight="1">
      <c r="A284" s="32">
        <v>105</v>
      </c>
      <c r="B284" s="45" t="s">
        <v>1424</v>
      </c>
      <c r="C284" s="65" t="s">
        <v>38</v>
      </c>
      <c r="D284" s="66"/>
      <c r="E284" s="59">
        <v>84879</v>
      </c>
      <c r="F284" s="67">
        <v>4</v>
      </c>
      <c r="G284" s="65" t="s">
        <v>1435</v>
      </c>
      <c r="H284" s="32" t="s">
        <v>816</v>
      </c>
      <c r="I284" s="65" t="s">
        <v>107</v>
      </c>
      <c r="J284" s="65" t="s">
        <v>810</v>
      </c>
      <c r="K284" s="68" t="str">
        <f>"00029968"</f>
        <v>00029968</v>
      </c>
    </row>
    <row r="285" spans="1:11" ht="45" customHeight="1">
      <c r="A285" s="32">
        <v>105</v>
      </c>
      <c r="B285" s="45" t="s">
        <v>1453</v>
      </c>
      <c r="C285" s="65" t="s">
        <v>38</v>
      </c>
      <c r="D285" s="66"/>
      <c r="E285" s="59">
        <v>70000</v>
      </c>
      <c r="F285" s="67">
        <v>4</v>
      </c>
      <c r="G285" s="71" t="s">
        <v>1454</v>
      </c>
      <c r="H285" s="32" t="s">
        <v>1455</v>
      </c>
      <c r="I285" s="65" t="s">
        <v>107</v>
      </c>
      <c r="J285" s="69" t="s">
        <v>1456</v>
      </c>
      <c r="K285" s="68" t="s">
        <v>3219</v>
      </c>
    </row>
    <row r="286" spans="1:11" ht="45" customHeight="1">
      <c r="A286" s="32">
        <v>105</v>
      </c>
      <c r="B286" s="51" t="s">
        <v>1432</v>
      </c>
      <c r="C286" s="65" t="s">
        <v>38</v>
      </c>
      <c r="D286" s="66"/>
      <c r="E286" s="59">
        <v>107754</v>
      </c>
      <c r="F286" s="67">
        <v>4</v>
      </c>
      <c r="G286" s="65" t="s">
        <v>1433</v>
      </c>
      <c r="H286" s="32" t="s">
        <v>1434</v>
      </c>
      <c r="I286" s="65" t="s">
        <v>107</v>
      </c>
      <c r="J286" s="65" t="s">
        <v>184</v>
      </c>
      <c r="K286" s="68" t="s">
        <v>3220</v>
      </c>
    </row>
    <row r="287" spans="1:11" ht="45" customHeight="1">
      <c r="A287" s="32">
        <v>105</v>
      </c>
      <c r="B287" s="45" t="s">
        <v>1457</v>
      </c>
      <c r="C287" s="65" t="s">
        <v>38</v>
      </c>
      <c r="D287" s="66"/>
      <c r="E287" s="59">
        <v>63476</v>
      </c>
      <c r="F287" s="67">
        <v>4</v>
      </c>
      <c r="G287" s="71" t="s">
        <v>1454</v>
      </c>
      <c r="H287" s="32" t="s">
        <v>1455</v>
      </c>
      <c r="I287" s="65" t="s">
        <v>107</v>
      </c>
      <c r="J287" s="69" t="s">
        <v>1456</v>
      </c>
      <c r="K287" s="68" t="s">
        <v>3219</v>
      </c>
    </row>
    <row r="288" spans="1:11" ht="45" customHeight="1">
      <c r="A288" s="32">
        <v>105</v>
      </c>
      <c r="B288" s="45" t="s">
        <v>1430</v>
      </c>
      <c r="C288" s="65" t="s">
        <v>38</v>
      </c>
      <c r="D288" s="66"/>
      <c r="E288" s="59">
        <v>73133</v>
      </c>
      <c r="F288" s="67">
        <v>4</v>
      </c>
      <c r="G288" s="65" t="s">
        <v>1431</v>
      </c>
      <c r="H288" s="32" t="s">
        <v>802</v>
      </c>
      <c r="I288" s="65" t="s">
        <v>92</v>
      </c>
      <c r="J288" s="65" t="s">
        <v>156</v>
      </c>
      <c r="K288" s="68" t="s">
        <v>3221</v>
      </c>
    </row>
    <row r="289" spans="1:11" ht="45" customHeight="1">
      <c r="A289" s="32">
        <v>105</v>
      </c>
      <c r="B289" s="51" t="s">
        <v>1427</v>
      </c>
      <c r="C289" s="65" t="s">
        <v>38</v>
      </c>
      <c r="D289" s="66"/>
      <c r="E289" s="59">
        <v>59004</v>
      </c>
      <c r="F289" s="67">
        <v>4</v>
      </c>
      <c r="G289" s="65" t="s">
        <v>1428</v>
      </c>
      <c r="H289" s="32" t="s">
        <v>1429</v>
      </c>
      <c r="I289" s="65" t="s">
        <v>92</v>
      </c>
      <c r="J289" s="65" t="s">
        <v>106</v>
      </c>
      <c r="K289" s="68" t="s">
        <v>3222</v>
      </c>
    </row>
    <row r="290" spans="1:11" ht="45" customHeight="1">
      <c r="A290" s="32">
        <v>105</v>
      </c>
      <c r="B290" s="51" t="s">
        <v>1458</v>
      </c>
      <c r="C290" s="65" t="s">
        <v>38</v>
      </c>
      <c r="D290" s="66"/>
      <c r="E290" s="59">
        <v>7608</v>
      </c>
      <c r="F290" s="67">
        <v>4</v>
      </c>
      <c r="G290" s="69" t="s">
        <v>1459</v>
      </c>
      <c r="H290" s="32" t="s">
        <v>1460</v>
      </c>
      <c r="I290" s="65" t="s">
        <v>196</v>
      </c>
      <c r="J290" s="65" t="s">
        <v>125</v>
      </c>
      <c r="K290" s="68" t="s">
        <v>3223</v>
      </c>
    </row>
    <row r="291" spans="1:11" ht="45" customHeight="1">
      <c r="A291" s="32">
        <v>105</v>
      </c>
      <c r="B291" s="51" t="s">
        <v>1427</v>
      </c>
      <c r="C291" s="65" t="s">
        <v>38</v>
      </c>
      <c r="D291" s="66"/>
      <c r="E291" s="59">
        <v>72066</v>
      </c>
      <c r="F291" s="67">
        <v>4</v>
      </c>
      <c r="G291" s="65" t="s">
        <v>1442</v>
      </c>
      <c r="H291" s="32" t="s">
        <v>1443</v>
      </c>
      <c r="I291" s="65" t="s">
        <v>107</v>
      </c>
      <c r="J291" s="65" t="s">
        <v>1444</v>
      </c>
      <c r="K291" s="68" t="str">
        <f>"00032437"</f>
        <v>00032437</v>
      </c>
    </row>
    <row r="292" spans="1:11" ht="45" customHeight="1">
      <c r="A292" s="32">
        <v>105</v>
      </c>
      <c r="B292" s="51" t="s">
        <v>1440</v>
      </c>
      <c r="C292" s="65" t="s">
        <v>38</v>
      </c>
      <c r="D292" s="66"/>
      <c r="E292" s="59">
        <v>111153</v>
      </c>
      <c r="F292" s="67">
        <v>4</v>
      </c>
      <c r="G292" s="65" t="s">
        <v>1441</v>
      </c>
      <c r="H292" s="32" t="s">
        <v>1235</v>
      </c>
      <c r="I292" s="65" t="s">
        <v>107</v>
      </c>
      <c r="J292" s="65" t="s">
        <v>108</v>
      </c>
      <c r="K292" s="68" t="s">
        <v>3224</v>
      </c>
    </row>
    <row r="293" spans="1:11" ht="45" customHeight="1">
      <c r="A293" s="32">
        <v>105</v>
      </c>
      <c r="B293" s="45" t="s">
        <v>1436</v>
      </c>
      <c r="C293" s="65" t="s">
        <v>38</v>
      </c>
      <c r="D293" s="66"/>
      <c r="E293" s="59">
        <v>45115</v>
      </c>
      <c r="F293" s="67">
        <v>4</v>
      </c>
      <c r="G293" s="69" t="s">
        <v>1439</v>
      </c>
      <c r="H293" s="32" t="s">
        <v>1438</v>
      </c>
      <c r="I293" s="65" t="s">
        <v>92</v>
      </c>
      <c r="J293" s="65" t="s">
        <v>355</v>
      </c>
      <c r="K293" s="68" t="s">
        <v>3225</v>
      </c>
    </row>
    <row r="294" spans="1:11" ht="45" customHeight="1">
      <c r="A294" s="32">
        <v>105</v>
      </c>
      <c r="B294" s="45" t="s">
        <v>628</v>
      </c>
      <c r="C294" s="65" t="s">
        <v>38</v>
      </c>
      <c r="D294" s="66"/>
      <c r="E294" s="59">
        <v>61345</v>
      </c>
      <c r="F294" s="67">
        <v>4</v>
      </c>
      <c r="G294" s="65" t="s">
        <v>1451</v>
      </c>
      <c r="H294" s="32" t="s">
        <v>1452</v>
      </c>
      <c r="I294" s="65" t="s">
        <v>92</v>
      </c>
      <c r="J294" s="65" t="s">
        <v>156</v>
      </c>
      <c r="K294" s="68" t="s">
        <v>3226</v>
      </c>
    </row>
    <row r="295" spans="1:11" ht="45" customHeight="1">
      <c r="A295" s="32">
        <v>105</v>
      </c>
      <c r="B295" s="45" t="s">
        <v>1436</v>
      </c>
      <c r="C295" s="65" t="s">
        <v>38</v>
      </c>
      <c r="D295" s="66"/>
      <c r="E295" s="59">
        <v>45896</v>
      </c>
      <c r="F295" s="67">
        <v>4</v>
      </c>
      <c r="G295" s="65" t="s">
        <v>1437</v>
      </c>
      <c r="H295" s="32" t="s">
        <v>1438</v>
      </c>
      <c r="I295" s="65" t="s">
        <v>92</v>
      </c>
      <c r="J295" s="65" t="s">
        <v>355</v>
      </c>
      <c r="K295" s="68" t="s">
        <v>3227</v>
      </c>
    </row>
    <row r="296" spans="1:11" ht="45" customHeight="1">
      <c r="A296" s="32">
        <v>105</v>
      </c>
      <c r="B296" s="45" t="s">
        <v>3748</v>
      </c>
      <c r="C296" s="65" t="s">
        <v>38</v>
      </c>
      <c r="D296" s="66"/>
      <c r="E296" s="59">
        <v>75525</v>
      </c>
      <c r="F296" s="67">
        <v>4</v>
      </c>
      <c r="G296" s="65" t="s">
        <v>1461</v>
      </c>
      <c r="H296" s="32" t="s">
        <v>867</v>
      </c>
      <c r="I296" s="65" t="s">
        <v>92</v>
      </c>
      <c r="J296" s="65" t="s">
        <v>156</v>
      </c>
      <c r="K296" s="78" t="s">
        <v>6086</v>
      </c>
    </row>
    <row r="297" spans="1:11" ht="45" customHeight="1">
      <c r="A297" s="32">
        <v>105</v>
      </c>
      <c r="B297" s="45" t="s">
        <v>1430</v>
      </c>
      <c r="C297" s="65" t="s">
        <v>1</v>
      </c>
      <c r="D297" s="66"/>
      <c r="E297" s="59">
        <v>34413</v>
      </c>
      <c r="F297" s="67">
        <v>4</v>
      </c>
      <c r="G297" s="65" t="s">
        <v>2884</v>
      </c>
      <c r="H297" s="32" t="s">
        <v>2885</v>
      </c>
      <c r="I297" s="65" t="s">
        <v>2886</v>
      </c>
      <c r="J297" s="65" t="s">
        <v>2887</v>
      </c>
      <c r="K297" s="68" t="str">
        <f>"00031352"</f>
        <v>00031352</v>
      </c>
    </row>
    <row r="298" spans="1:11" ht="45" customHeight="1">
      <c r="A298" s="32">
        <v>104</v>
      </c>
      <c r="B298" s="45" t="s">
        <v>3743</v>
      </c>
      <c r="C298" s="65" t="s">
        <v>88</v>
      </c>
      <c r="D298" s="66"/>
      <c r="E298" s="59">
        <v>152</v>
      </c>
      <c r="F298" s="67">
        <v>4</v>
      </c>
      <c r="G298" s="65" t="s">
        <v>627</v>
      </c>
      <c r="H298" s="32" t="s">
        <v>545</v>
      </c>
      <c r="I298" s="65" t="s">
        <v>3744</v>
      </c>
      <c r="J298" s="65" t="s">
        <v>3745</v>
      </c>
      <c r="K298" s="68" t="s">
        <v>3749</v>
      </c>
    </row>
    <row r="299" spans="1:11" ht="45" customHeight="1">
      <c r="A299" s="32">
        <v>104</v>
      </c>
      <c r="B299" s="45" t="s">
        <v>3746</v>
      </c>
      <c r="C299" s="65" t="s">
        <v>88</v>
      </c>
      <c r="D299" s="66"/>
      <c r="E299" s="59">
        <v>1117</v>
      </c>
      <c r="F299" s="67">
        <v>4</v>
      </c>
      <c r="G299" s="65" t="s">
        <v>662</v>
      </c>
      <c r="H299" s="32" t="s">
        <v>3747</v>
      </c>
      <c r="I299" s="65" t="s">
        <v>3744</v>
      </c>
      <c r="J299" s="65" t="s">
        <v>3745</v>
      </c>
      <c r="K299" s="68" t="s">
        <v>3750</v>
      </c>
    </row>
    <row r="300" spans="1:11" ht="45" customHeight="1">
      <c r="A300" s="32"/>
      <c r="B300" s="58" t="s">
        <v>630</v>
      </c>
      <c r="C300" s="31"/>
      <c r="D300" s="31"/>
      <c r="E300" s="59">
        <f>SUM(E277:E299)</f>
        <v>1745224</v>
      </c>
      <c r="F300" s="31"/>
      <c r="G300" s="31"/>
      <c r="H300" s="31"/>
      <c r="I300" s="31"/>
      <c r="J300" s="31"/>
      <c r="K300" s="31"/>
    </row>
    <row r="301" spans="1:11" ht="45" customHeight="1">
      <c r="A301" s="30"/>
      <c r="B301" s="56" t="s">
        <v>143</v>
      </c>
      <c r="C301" s="45"/>
      <c r="D301" s="46"/>
      <c r="E301" s="47"/>
      <c r="F301" s="48"/>
      <c r="G301" s="45"/>
      <c r="H301" s="30"/>
      <c r="I301" s="45"/>
      <c r="J301" s="45"/>
      <c r="K301" s="50"/>
    </row>
    <row r="302" spans="1:11" ht="45" customHeight="1">
      <c r="A302" s="32">
        <v>105</v>
      </c>
      <c r="B302" s="51" t="s">
        <v>4216</v>
      </c>
      <c r="C302" s="65" t="s">
        <v>88</v>
      </c>
      <c r="D302" s="66"/>
      <c r="E302" s="59">
        <v>16035</v>
      </c>
      <c r="F302" s="67">
        <v>4</v>
      </c>
      <c r="G302" s="65" t="s">
        <v>1150</v>
      </c>
      <c r="H302" s="32" t="s">
        <v>4217</v>
      </c>
      <c r="I302" s="65" t="s">
        <v>4218</v>
      </c>
      <c r="J302" s="65" t="s">
        <v>523</v>
      </c>
      <c r="K302" s="68" t="str">
        <f>"00027825"</f>
        <v>00027825</v>
      </c>
    </row>
    <row r="303" spans="1:11" ht="45" customHeight="1">
      <c r="A303" s="32">
        <v>105</v>
      </c>
      <c r="B303" s="45" t="s">
        <v>4219</v>
      </c>
      <c r="C303" s="65" t="s">
        <v>88</v>
      </c>
      <c r="D303" s="66"/>
      <c r="E303" s="59">
        <v>30003</v>
      </c>
      <c r="F303" s="67">
        <v>4</v>
      </c>
      <c r="G303" s="65" t="s">
        <v>1152</v>
      </c>
      <c r="H303" s="32" t="s">
        <v>4220</v>
      </c>
      <c r="I303" s="65" t="s">
        <v>4218</v>
      </c>
      <c r="J303" s="65" t="s">
        <v>523</v>
      </c>
      <c r="K303" s="68" t="str">
        <f>"00027399"</f>
        <v>00027399</v>
      </c>
    </row>
    <row r="304" spans="1:11" ht="45" customHeight="1">
      <c r="A304" s="32">
        <v>105</v>
      </c>
      <c r="B304" s="45" t="s">
        <v>4221</v>
      </c>
      <c r="C304" s="65" t="s">
        <v>88</v>
      </c>
      <c r="D304" s="66"/>
      <c r="E304" s="59">
        <v>3885</v>
      </c>
      <c r="F304" s="67">
        <v>4</v>
      </c>
      <c r="G304" s="65" t="s">
        <v>1148</v>
      </c>
      <c r="H304" s="32" t="s">
        <v>4222</v>
      </c>
      <c r="I304" s="65" t="s">
        <v>4218</v>
      </c>
      <c r="J304" s="65" t="s">
        <v>523</v>
      </c>
      <c r="K304" s="68" t="str">
        <f>"00027838"</f>
        <v>00027838</v>
      </c>
    </row>
    <row r="305" spans="1:11" ht="45" customHeight="1">
      <c r="A305" s="32">
        <v>105</v>
      </c>
      <c r="B305" s="51" t="s">
        <v>4216</v>
      </c>
      <c r="C305" s="65" t="s">
        <v>88</v>
      </c>
      <c r="D305" s="66"/>
      <c r="E305" s="59">
        <v>10000</v>
      </c>
      <c r="F305" s="67">
        <v>4</v>
      </c>
      <c r="G305" s="65" t="s">
        <v>1150</v>
      </c>
      <c r="H305" s="32" t="s">
        <v>4220</v>
      </c>
      <c r="I305" s="65" t="s">
        <v>4218</v>
      </c>
      <c r="J305" s="65" t="s">
        <v>523</v>
      </c>
      <c r="K305" s="68" t="str">
        <f>"00027296"</f>
        <v>00027296</v>
      </c>
    </row>
    <row r="306" spans="1:11" ht="45" customHeight="1">
      <c r="A306" s="32">
        <v>105</v>
      </c>
      <c r="B306" s="45" t="s">
        <v>4223</v>
      </c>
      <c r="C306" s="65" t="s">
        <v>88</v>
      </c>
      <c r="D306" s="66"/>
      <c r="E306" s="59">
        <v>34380</v>
      </c>
      <c r="F306" s="67">
        <v>4</v>
      </c>
      <c r="G306" s="65" t="s">
        <v>159</v>
      </c>
      <c r="H306" s="32" t="s">
        <v>4224</v>
      </c>
      <c r="I306" s="65" t="s">
        <v>3586</v>
      </c>
      <c r="J306" s="65" t="s">
        <v>544</v>
      </c>
      <c r="K306" s="68" t="str">
        <f>"00026196"</f>
        <v>00026196</v>
      </c>
    </row>
    <row r="307" spans="1:11" ht="45" customHeight="1">
      <c r="A307" s="32">
        <v>105</v>
      </c>
      <c r="B307" s="45" t="s">
        <v>4223</v>
      </c>
      <c r="C307" s="65" t="s">
        <v>88</v>
      </c>
      <c r="D307" s="66"/>
      <c r="E307" s="59">
        <v>47532</v>
      </c>
      <c r="F307" s="67">
        <v>4</v>
      </c>
      <c r="G307" s="65" t="s">
        <v>174</v>
      </c>
      <c r="H307" s="32" t="s">
        <v>4225</v>
      </c>
      <c r="I307" s="65" t="s">
        <v>3586</v>
      </c>
      <c r="J307" s="72" t="s">
        <v>4226</v>
      </c>
      <c r="K307" s="68" t="str">
        <f>"00026193"</f>
        <v>00026193</v>
      </c>
    </row>
    <row r="308" spans="1:11" ht="45" customHeight="1">
      <c r="A308" s="32">
        <v>105</v>
      </c>
      <c r="B308" s="76" t="s">
        <v>4227</v>
      </c>
      <c r="C308" s="65" t="s">
        <v>88</v>
      </c>
      <c r="D308" s="66"/>
      <c r="E308" s="59">
        <v>18709</v>
      </c>
      <c r="F308" s="67">
        <v>4</v>
      </c>
      <c r="G308" s="65" t="s">
        <v>1156</v>
      </c>
      <c r="H308" s="32" t="s">
        <v>3908</v>
      </c>
      <c r="I308" s="65" t="s">
        <v>3577</v>
      </c>
      <c r="J308" s="65" t="s">
        <v>4228</v>
      </c>
      <c r="K308" s="68" t="str">
        <f>"00028842"</f>
        <v>00028842</v>
      </c>
    </row>
    <row r="309" spans="1:11" ht="45" customHeight="1">
      <c r="A309" s="32">
        <v>105</v>
      </c>
      <c r="B309" s="76" t="s">
        <v>4229</v>
      </c>
      <c r="C309" s="65" t="s">
        <v>88</v>
      </c>
      <c r="D309" s="66"/>
      <c r="E309" s="59">
        <v>21133</v>
      </c>
      <c r="F309" s="67">
        <v>4</v>
      </c>
      <c r="G309" s="65" t="s">
        <v>287</v>
      </c>
      <c r="H309" s="32" t="s">
        <v>4230</v>
      </c>
      <c r="I309" s="65" t="s">
        <v>3586</v>
      </c>
      <c r="J309" s="65" t="s">
        <v>544</v>
      </c>
      <c r="K309" s="68" t="str">
        <f>"00026546"</f>
        <v>00026546</v>
      </c>
    </row>
    <row r="310" spans="1:11" ht="45" customHeight="1">
      <c r="A310" s="32">
        <v>105</v>
      </c>
      <c r="B310" s="45" t="s">
        <v>4231</v>
      </c>
      <c r="C310" s="65" t="s">
        <v>88</v>
      </c>
      <c r="D310" s="66"/>
      <c r="E310" s="59">
        <v>68166</v>
      </c>
      <c r="F310" s="67">
        <v>4</v>
      </c>
      <c r="G310" s="72" t="s">
        <v>1146</v>
      </c>
      <c r="H310" s="32" t="s">
        <v>4232</v>
      </c>
      <c r="I310" s="65" t="s">
        <v>4233</v>
      </c>
      <c r="J310" s="65" t="s">
        <v>4234</v>
      </c>
      <c r="K310" s="68" t="str">
        <f>"00028252"</f>
        <v>00028252</v>
      </c>
    </row>
    <row r="311" spans="1:11" ht="45" customHeight="1">
      <c r="A311" s="32">
        <v>105</v>
      </c>
      <c r="B311" s="45" t="s">
        <v>4235</v>
      </c>
      <c r="C311" s="65" t="s">
        <v>88</v>
      </c>
      <c r="D311" s="66"/>
      <c r="E311" s="59">
        <v>44182</v>
      </c>
      <c r="F311" s="67">
        <v>4</v>
      </c>
      <c r="G311" s="65" t="s">
        <v>173</v>
      </c>
      <c r="H311" s="32" t="s">
        <v>4236</v>
      </c>
      <c r="I311" s="65" t="s">
        <v>3586</v>
      </c>
      <c r="J311" s="65" t="s">
        <v>544</v>
      </c>
      <c r="K311" s="68" t="str">
        <f>"00026194"</f>
        <v>00026194</v>
      </c>
    </row>
    <row r="312" spans="1:11" ht="45" customHeight="1">
      <c r="A312" s="32">
        <v>105</v>
      </c>
      <c r="B312" s="45" t="s">
        <v>4237</v>
      </c>
      <c r="C312" s="65" t="s">
        <v>88</v>
      </c>
      <c r="D312" s="66"/>
      <c r="E312" s="59">
        <v>46006</v>
      </c>
      <c r="F312" s="67">
        <v>4</v>
      </c>
      <c r="G312" s="65" t="s">
        <v>290</v>
      </c>
      <c r="H312" s="32" t="s">
        <v>4224</v>
      </c>
      <c r="I312" s="65" t="s">
        <v>3586</v>
      </c>
      <c r="J312" s="65" t="s">
        <v>544</v>
      </c>
      <c r="K312" s="68" t="str">
        <f>"00025749"</f>
        <v>00025749</v>
      </c>
    </row>
    <row r="313" spans="1:11" ht="45" customHeight="1">
      <c r="A313" s="32">
        <v>105</v>
      </c>
      <c r="B313" s="45" t="s">
        <v>4231</v>
      </c>
      <c r="C313" s="65" t="s">
        <v>88</v>
      </c>
      <c r="D313" s="66"/>
      <c r="E313" s="59">
        <v>69846</v>
      </c>
      <c r="F313" s="67">
        <v>4</v>
      </c>
      <c r="G313" s="72" t="s">
        <v>1146</v>
      </c>
      <c r="H313" s="32" t="s">
        <v>4238</v>
      </c>
      <c r="I313" s="65" t="s">
        <v>4233</v>
      </c>
      <c r="J313" s="65" t="s">
        <v>4234</v>
      </c>
      <c r="K313" s="68" t="str">
        <f>"00028248"</f>
        <v>00028248</v>
      </c>
    </row>
    <row r="314" spans="1:11" ht="45" customHeight="1">
      <c r="A314" s="32">
        <v>105</v>
      </c>
      <c r="B314" s="45" t="s">
        <v>4239</v>
      </c>
      <c r="C314" s="65" t="s">
        <v>88</v>
      </c>
      <c r="D314" s="66"/>
      <c r="E314" s="59">
        <v>95139</v>
      </c>
      <c r="F314" s="67">
        <v>4</v>
      </c>
      <c r="G314" s="65" t="s">
        <v>1111</v>
      </c>
      <c r="H314" s="32" t="s">
        <v>4240</v>
      </c>
      <c r="I314" s="65" t="s">
        <v>4218</v>
      </c>
      <c r="J314" s="65" t="s">
        <v>523</v>
      </c>
      <c r="K314" s="68" t="str">
        <f>"00028028"</f>
        <v>00028028</v>
      </c>
    </row>
    <row r="315" spans="1:11" ht="45" customHeight="1">
      <c r="A315" s="32">
        <v>105</v>
      </c>
      <c r="B315" s="45" t="s">
        <v>4231</v>
      </c>
      <c r="C315" s="65" t="s">
        <v>88</v>
      </c>
      <c r="D315" s="66"/>
      <c r="E315" s="59">
        <v>70000</v>
      </c>
      <c r="F315" s="67">
        <v>4</v>
      </c>
      <c r="G315" s="72" t="s">
        <v>1146</v>
      </c>
      <c r="H315" s="32" t="s">
        <v>4238</v>
      </c>
      <c r="I315" s="65" t="s">
        <v>4233</v>
      </c>
      <c r="J315" s="65" t="s">
        <v>4234</v>
      </c>
      <c r="K315" s="68" t="str">
        <f>"00028251"</f>
        <v>00028251</v>
      </c>
    </row>
    <row r="316" spans="1:11" ht="45" customHeight="1">
      <c r="A316" s="32">
        <v>105</v>
      </c>
      <c r="B316" s="45" t="s">
        <v>4231</v>
      </c>
      <c r="C316" s="65" t="s">
        <v>88</v>
      </c>
      <c r="D316" s="66"/>
      <c r="E316" s="59">
        <v>68206</v>
      </c>
      <c r="F316" s="67">
        <v>4</v>
      </c>
      <c r="G316" s="72" t="s">
        <v>1146</v>
      </c>
      <c r="H316" s="32" t="s">
        <v>4241</v>
      </c>
      <c r="I316" s="65" t="s">
        <v>4233</v>
      </c>
      <c r="J316" s="65" t="s">
        <v>4234</v>
      </c>
      <c r="K316" s="68" t="str">
        <f>"00028253"</f>
        <v>00028253</v>
      </c>
    </row>
    <row r="317" spans="1:11" ht="45" customHeight="1">
      <c r="A317" s="32">
        <v>105</v>
      </c>
      <c r="B317" s="49" t="s">
        <v>4242</v>
      </c>
      <c r="C317" s="65" t="s">
        <v>88</v>
      </c>
      <c r="D317" s="66"/>
      <c r="E317" s="59">
        <v>15428</v>
      </c>
      <c r="F317" s="67">
        <v>4</v>
      </c>
      <c r="G317" s="65" t="s">
        <v>1110</v>
      </c>
      <c r="H317" s="32" t="s">
        <v>4243</v>
      </c>
      <c r="I317" s="65" t="s">
        <v>3577</v>
      </c>
      <c r="J317" s="65" t="s">
        <v>4228</v>
      </c>
      <c r="K317" s="68" t="str">
        <f>"00029353"</f>
        <v>00029353</v>
      </c>
    </row>
    <row r="318" spans="1:11" ht="45" customHeight="1">
      <c r="A318" s="32">
        <v>105</v>
      </c>
      <c r="B318" s="51" t="s">
        <v>4216</v>
      </c>
      <c r="C318" s="65" t="s">
        <v>88</v>
      </c>
      <c r="D318" s="66"/>
      <c r="E318" s="59">
        <v>58190</v>
      </c>
      <c r="F318" s="67">
        <v>4</v>
      </c>
      <c r="G318" s="71" t="s">
        <v>1113</v>
      </c>
      <c r="H318" s="32" t="s">
        <v>4244</v>
      </c>
      <c r="I318" s="65" t="s">
        <v>3577</v>
      </c>
      <c r="J318" s="65" t="s">
        <v>4245</v>
      </c>
      <c r="K318" s="68" t="str">
        <f>"00027942"</f>
        <v>00027942</v>
      </c>
    </row>
    <row r="319" spans="1:11" ht="45" customHeight="1">
      <c r="A319" s="32">
        <v>105</v>
      </c>
      <c r="B319" s="49" t="s">
        <v>4246</v>
      </c>
      <c r="C319" s="65" t="s">
        <v>88</v>
      </c>
      <c r="D319" s="66"/>
      <c r="E319" s="59">
        <v>60000</v>
      </c>
      <c r="F319" s="67">
        <v>4</v>
      </c>
      <c r="G319" s="65" t="s">
        <v>1111</v>
      </c>
      <c r="H319" s="32" t="s">
        <v>4240</v>
      </c>
      <c r="I319" s="65" t="s">
        <v>4218</v>
      </c>
      <c r="J319" s="65" t="s">
        <v>523</v>
      </c>
      <c r="K319" s="68" t="str">
        <f>"00028059"</f>
        <v>00028059</v>
      </c>
    </row>
    <row r="320" spans="1:11" ht="45" customHeight="1">
      <c r="A320" s="32">
        <v>105</v>
      </c>
      <c r="B320" s="51" t="s">
        <v>4247</v>
      </c>
      <c r="C320" s="65" t="s">
        <v>88</v>
      </c>
      <c r="D320" s="66"/>
      <c r="E320" s="59">
        <v>60000</v>
      </c>
      <c r="F320" s="67">
        <v>4</v>
      </c>
      <c r="G320" s="65" t="s">
        <v>1111</v>
      </c>
      <c r="H320" s="32" t="s">
        <v>4248</v>
      </c>
      <c r="I320" s="65" t="s">
        <v>4218</v>
      </c>
      <c r="J320" s="65" t="s">
        <v>523</v>
      </c>
      <c r="K320" s="68" t="str">
        <f>"00028058"</f>
        <v>00028058</v>
      </c>
    </row>
    <row r="321" spans="1:11" ht="45" customHeight="1">
      <c r="A321" s="32">
        <v>105</v>
      </c>
      <c r="B321" s="51" t="s">
        <v>4216</v>
      </c>
      <c r="C321" s="65" t="s">
        <v>88</v>
      </c>
      <c r="D321" s="66"/>
      <c r="E321" s="59">
        <v>100000</v>
      </c>
      <c r="F321" s="67">
        <v>4</v>
      </c>
      <c r="G321" s="71" t="s">
        <v>1116</v>
      </c>
      <c r="H321" s="32" t="s">
        <v>4230</v>
      </c>
      <c r="I321" s="65" t="s">
        <v>3586</v>
      </c>
      <c r="J321" s="65" t="s">
        <v>544</v>
      </c>
      <c r="K321" s="68" t="str">
        <f>"00026217"</f>
        <v>00026217</v>
      </c>
    </row>
    <row r="322" spans="1:11" ht="45" customHeight="1">
      <c r="A322" s="32">
        <v>105</v>
      </c>
      <c r="B322" s="45" t="s">
        <v>4249</v>
      </c>
      <c r="C322" s="65" t="s">
        <v>88</v>
      </c>
      <c r="D322" s="66"/>
      <c r="E322" s="59">
        <v>100000</v>
      </c>
      <c r="F322" s="67">
        <v>4</v>
      </c>
      <c r="G322" s="69" t="s">
        <v>1120</v>
      </c>
      <c r="H322" s="32" t="s">
        <v>4230</v>
      </c>
      <c r="I322" s="65" t="s">
        <v>3586</v>
      </c>
      <c r="J322" s="65" t="s">
        <v>544</v>
      </c>
      <c r="K322" s="68" t="str">
        <f>"00026215"</f>
        <v>00026215</v>
      </c>
    </row>
    <row r="323" spans="1:11" ht="45" customHeight="1">
      <c r="A323" s="32">
        <v>105</v>
      </c>
      <c r="B323" s="45" t="s">
        <v>4250</v>
      </c>
      <c r="C323" s="65" t="s">
        <v>88</v>
      </c>
      <c r="D323" s="66"/>
      <c r="E323" s="59">
        <v>96268</v>
      </c>
      <c r="F323" s="67">
        <v>4</v>
      </c>
      <c r="G323" s="69" t="s">
        <v>1115</v>
      </c>
      <c r="H323" s="32" t="s">
        <v>4251</v>
      </c>
      <c r="I323" s="65" t="s">
        <v>3586</v>
      </c>
      <c r="J323" s="65" t="s">
        <v>544</v>
      </c>
      <c r="K323" s="68" t="str">
        <f>"00026754"</f>
        <v>00026754</v>
      </c>
    </row>
    <row r="324" spans="1:11" ht="45" customHeight="1">
      <c r="A324" s="32">
        <v>105</v>
      </c>
      <c r="B324" s="76" t="s">
        <v>4229</v>
      </c>
      <c r="C324" s="65" t="s">
        <v>88</v>
      </c>
      <c r="D324" s="66"/>
      <c r="E324" s="59">
        <v>165039</v>
      </c>
      <c r="F324" s="67">
        <v>4</v>
      </c>
      <c r="G324" s="65" t="s">
        <v>1117</v>
      </c>
      <c r="H324" s="32" t="s">
        <v>4252</v>
      </c>
      <c r="I324" s="65" t="s">
        <v>3586</v>
      </c>
      <c r="J324" s="69" t="s">
        <v>4253</v>
      </c>
      <c r="K324" s="68" t="str">
        <f>"00026372"</f>
        <v>00026372</v>
      </c>
    </row>
    <row r="325" spans="1:11" ht="45" customHeight="1">
      <c r="A325" s="32">
        <v>105</v>
      </c>
      <c r="B325" s="45" t="s">
        <v>4254</v>
      </c>
      <c r="C325" s="65" t="s">
        <v>88</v>
      </c>
      <c r="D325" s="66"/>
      <c r="E325" s="59">
        <v>93144</v>
      </c>
      <c r="F325" s="67">
        <v>4</v>
      </c>
      <c r="G325" s="65" t="s">
        <v>1099</v>
      </c>
      <c r="H325" s="32" t="s">
        <v>3908</v>
      </c>
      <c r="I325" s="65" t="s">
        <v>3577</v>
      </c>
      <c r="J325" s="65" t="s">
        <v>4228</v>
      </c>
      <c r="K325" s="68" t="str">
        <f>"00027950"</f>
        <v>00027950</v>
      </c>
    </row>
    <row r="326" spans="1:11" ht="45" customHeight="1">
      <c r="A326" s="32">
        <v>105</v>
      </c>
      <c r="B326" s="76" t="s">
        <v>4255</v>
      </c>
      <c r="C326" s="65" t="s">
        <v>88</v>
      </c>
      <c r="D326" s="66"/>
      <c r="E326" s="59">
        <v>100748</v>
      </c>
      <c r="F326" s="67">
        <v>4</v>
      </c>
      <c r="G326" s="65" t="s">
        <v>1106</v>
      </c>
      <c r="H326" s="32" t="s">
        <v>4256</v>
      </c>
      <c r="I326" s="65" t="s">
        <v>4257</v>
      </c>
      <c r="J326" s="65" t="s">
        <v>481</v>
      </c>
      <c r="K326" s="68" t="str">
        <f>"00030231"</f>
        <v>00030231</v>
      </c>
    </row>
    <row r="327" spans="1:11" ht="45" customHeight="1">
      <c r="A327" s="32">
        <v>105</v>
      </c>
      <c r="B327" s="45" t="s">
        <v>4239</v>
      </c>
      <c r="C327" s="65" t="s">
        <v>88</v>
      </c>
      <c r="D327" s="66"/>
      <c r="E327" s="59">
        <v>48969</v>
      </c>
      <c r="F327" s="67">
        <v>4</v>
      </c>
      <c r="G327" s="65" t="s">
        <v>1104</v>
      </c>
      <c r="H327" s="32" t="s">
        <v>4258</v>
      </c>
      <c r="I327" s="65" t="s">
        <v>4233</v>
      </c>
      <c r="J327" s="65" t="s">
        <v>3756</v>
      </c>
      <c r="K327" s="68" t="str">
        <f>"00029466"</f>
        <v>00029466</v>
      </c>
    </row>
    <row r="328" spans="1:11" ht="45" customHeight="1">
      <c r="A328" s="32">
        <v>105</v>
      </c>
      <c r="B328" s="45" t="s">
        <v>4259</v>
      </c>
      <c r="C328" s="65" t="s">
        <v>88</v>
      </c>
      <c r="D328" s="66"/>
      <c r="E328" s="59">
        <v>90168</v>
      </c>
      <c r="F328" s="67">
        <v>4</v>
      </c>
      <c r="G328" s="65" t="s">
        <v>1138</v>
      </c>
      <c r="H328" s="32" t="s">
        <v>4260</v>
      </c>
      <c r="I328" s="65" t="s">
        <v>3577</v>
      </c>
      <c r="J328" s="65" t="s">
        <v>4228</v>
      </c>
      <c r="K328" s="68" t="str">
        <f>"00029405"</f>
        <v>00029405</v>
      </c>
    </row>
    <row r="329" spans="1:11" ht="45" customHeight="1">
      <c r="A329" s="32">
        <v>105</v>
      </c>
      <c r="B329" s="45" t="s">
        <v>4261</v>
      </c>
      <c r="C329" s="65" t="s">
        <v>88</v>
      </c>
      <c r="D329" s="66"/>
      <c r="E329" s="59">
        <v>78930</v>
      </c>
      <c r="F329" s="67">
        <v>4</v>
      </c>
      <c r="G329" s="65" t="s">
        <v>1102</v>
      </c>
      <c r="H329" s="32" t="s">
        <v>4262</v>
      </c>
      <c r="I329" s="65" t="s">
        <v>3577</v>
      </c>
      <c r="J329" s="65" t="s">
        <v>4228</v>
      </c>
      <c r="K329" s="68" t="str">
        <f>"00029316"</f>
        <v>00029316</v>
      </c>
    </row>
    <row r="330" spans="1:11" ht="45" customHeight="1">
      <c r="A330" s="32">
        <v>105</v>
      </c>
      <c r="B330" s="45" t="s">
        <v>4263</v>
      </c>
      <c r="C330" s="65" t="s">
        <v>88</v>
      </c>
      <c r="D330" s="66"/>
      <c r="E330" s="59">
        <v>23461</v>
      </c>
      <c r="F330" s="67">
        <v>4</v>
      </c>
      <c r="G330" s="65" t="s">
        <v>1103</v>
      </c>
      <c r="H330" s="32" t="s">
        <v>3908</v>
      </c>
      <c r="I330" s="65" t="s">
        <v>3577</v>
      </c>
      <c r="J330" s="65" t="s">
        <v>4228</v>
      </c>
      <c r="K330" s="68" t="str">
        <f>"00029128"</f>
        <v>00029128</v>
      </c>
    </row>
    <row r="331" spans="1:11" ht="45" customHeight="1">
      <c r="A331" s="32">
        <v>105</v>
      </c>
      <c r="B331" s="45" t="s">
        <v>4263</v>
      </c>
      <c r="C331" s="65" t="s">
        <v>88</v>
      </c>
      <c r="D331" s="66"/>
      <c r="E331" s="59">
        <v>13461</v>
      </c>
      <c r="F331" s="67">
        <v>4</v>
      </c>
      <c r="G331" s="65" t="s">
        <v>1101</v>
      </c>
      <c r="H331" s="32" t="s">
        <v>3908</v>
      </c>
      <c r="I331" s="65" t="s">
        <v>3577</v>
      </c>
      <c r="J331" s="65" t="s">
        <v>4228</v>
      </c>
      <c r="K331" s="68" t="str">
        <f>"00029259"</f>
        <v>00029259</v>
      </c>
    </row>
    <row r="332" spans="1:11" ht="45" customHeight="1">
      <c r="A332" s="32">
        <v>105</v>
      </c>
      <c r="B332" s="45" t="s">
        <v>4264</v>
      </c>
      <c r="C332" s="65" t="s">
        <v>88</v>
      </c>
      <c r="D332" s="66"/>
      <c r="E332" s="59">
        <v>10552</v>
      </c>
      <c r="F332" s="67">
        <v>4</v>
      </c>
      <c r="G332" s="65" t="s">
        <v>1097</v>
      </c>
      <c r="H332" s="32" t="s">
        <v>4265</v>
      </c>
      <c r="I332" s="65" t="s">
        <v>3577</v>
      </c>
      <c r="J332" s="65" t="s">
        <v>4228</v>
      </c>
      <c r="K332" s="68" t="str">
        <f>"00029351"</f>
        <v>00029351</v>
      </c>
    </row>
    <row r="333" spans="1:11" ht="45" customHeight="1">
      <c r="A333" s="32">
        <v>105</v>
      </c>
      <c r="B333" s="45" t="s">
        <v>4237</v>
      </c>
      <c r="C333" s="65" t="s">
        <v>88</v>
      </c>
      <c r="D333" s="66"/>
      <c r="E333" s="59">
        <v>46911</v>
      </c>
      <c r="F333" s="67">
        <v>4</v>
      </c>
      <c r="G333" s="65" t="s">
        <v>1108</v>
      </c>
      <c r="H333" s="32" t="s">
        <v>4266</v>
      </c>
      <c r="I333" s="65" t="s">
        <v>4267</v>
      </c>
      <c r="J333" s="65" t="s">
        <v>4268</v>
      </c>
      <c r="K333" s="68" t="str">
        <f>"00029450"</f>
        <v>00029450</v>
      </c>
    </row>
    <row r="334" spans="1:11" ht="45" customHeight="1">
      <c r="A334" s="32">
        <v>105</v>
      </c>
      <c r="B334" s="45" t="s">
        <v>4269</v>
      </c>
      <c r="C334" s="65" t="s">
        <v>88</v>
      </c>
      <c r="D334" s="66"/>
      <c r="E334" s="59">
        <v>72095</v>
      </c>
      <c r="F334" s="67">
        <v>4</v>
      </c>
      <c r="G334" s="65" t="s">
        <v>1140</v>
      </c>
      <c r="H334" s="32" t="s">
        <v>4270</v>
      </c>
      <c r="I334" s="65" t="s">
        <v>3577</v>
      </c>
      <c r="J334" s="65" t="s">
        <v>4271</v>
      </c>
      <c r="K334" s="68" t="str">
        <f>"00030660"</f>
        <v>00030660</v>
      </c>
    </row>
    <row r="335" spans="1:11" ht="45" customHeight="1">
      <c r="A335" s="32">
        <v>105</v>
      </c>
      <c r="B335" s="45" t="s">
        <v>4272</v>
      </c>
      <c r="C335" s="65" t="s">
        <v>88</v>
      </c>
      <c r="D335" s="66"/>
      <c r="E335" s="59">
        <v>70000</v>
      </c>
      <c r="F335" s="67">
        <v>4</v>
      </c>
      <c r="G335" s="65" t="s">
        <v>1143</v>
      </c>
      <c r="H335" s="32" t="s">
        <v>4273</v>
      </c>
      <c r="I335" s="65" t="s">
        <v>4274</v>
      </c>
      <c r="J335" s="65" t="s">
        <v>4275</v>
      </c>
      <c r="K335" s="68" t="str">
        <f>"00030528"</f>
        <v>00030528</v>
      </c>
    </row>
    <row r="336" spans="1:11" ht="45" customHeight="1">
      <c r="A336" s="32">
        <v>105</v>
      </c>
      <c r="B336" s="45" t="s">
        <v>4231</v>
      </c>
      <c r="C336" s="65" t="s">
        <v>88</v>
      </c>
      <c r="D336" s="66"/>
      <c r="E336" s="59">
        <v>44342</v>
      </c>
      <c r="F336" s="67">
        <v>4</v>
      </c>
      <c r="G336" s="79" t="s">
        <v>1135</v>
      </c>
      <c r="H336" s="32" t="s">
        <v>4276</v>
      </c>
      <c r="I336" s="65" t="s">
        <v>4277</v>
      </c>
      <c r="J336" s="65" t="s">
        <v>4278</v>
      </c>
      <c r="K336" s="68" t="str">
        <f>"00032454"</f>
        <v>00032454</v>
      </c>
    </row>
    <row r="337" spans="1:11" ht="45" customHeight="1">
      <c r="A337" s="32">
        <v>105</v>
      </c>
      <c r="B337" s="45" t="s">
        <v>4279</v>
      </c>
      <c r="C337" s="65" t="s">
        <v>88</v>
      </c>
      <c r="D337" s="66"/>
      <c r="E337" s="59">
        <v>79102</v>
      </c>
      <c r="F337" s="67">
        <v>4</v>
      </c>
      <c r="G337" s="65" t="s">
        <v>1122</v>
      </c>
      <c r="H337" s="32" t="s">
        <v>4280</v>
      </c>
      <c r="I337" s="65" t="s">
        <v>4281</v>
      </c>
      <c r="J337" s="65" t="s">
        <v>4282</v>
      </c>
      <c r="K337" s="68" t="str">
        <f>"00031106"</f>
        <v>00031106</v>
      </c>
    </row>
    <row r="338" spans="1:11" ht="45" customHeight="1">
      <c r="A338" s="32">
        <v>105</v>
      </c>
      <c r="B338" s="51" t="s">
        <v>4319</v>
      </c>
      <c r="C338" s="65" t="s">
        <v>88</v>
      </c>
      <c r="D338" s="66"/>
      <c r="E338" s="59">
        <v>22000</v>
      </c>
      <c r="F338" s="67">
        <v>4</v>
      </c>
      <c r="G338" s="69" t="s">
        <v>1125</v>
      </c>
      <c r="H338" s="32" t="s">
        <v>4283</v>
      </c>
      <c r="I338" s="65" t="s">
        <v>3577</v>
      </c>
      <c r="J338" s="70" t="s">
        <v>4284</v>
      </c>
      <c r="K338" s="68" t="str">
        <f>"00030928"</f>
        <v>00030928</v>
      </c>
    </row>
    <row r="339" spans="1:11" ht="45" customHeight="1">
      <c r="A339" s="32">
        <v>105</v>
      </c>
      <c r="B339" s="76" t="s">
        <v>4320</v>
      </c>
      <c r="C339" s="65" t="s">
        <v>88</v>
      </c>
      <c r="D339" s="66"/>
      <c r="E339" s="59">
        <v>45647</v>
      </c>
      <c r="F339" s="67">
        <v>4</v>
      </c>
      <c r="G339" s="65" t="s">
        <v>1126</v>
      </c>
      <c r="H339" s="32" t="s">
        <v>4285</v>
      </c>
      <c r="I339" s="65" t="s">
        <v>4286</v>
      </c>
      <c r="J339" s="65" t="s">
        <v>4287</v>
      </c>
      <c r="K339" s="68" t="str">
        <f>"00031891"</f>
        <v>00031891</v>
      </c>
    </row>
    <row r="340" spans="1:11" ht="45" customHeight="1">
      <c r="A340" s="32">
        <v>105</v>
      </c>
      <c r="B340" s="45" t="s">
        <v>4288</v>
      </c>
      <c r="C340" s="65" t="s">
        <v>88</v>
      </c>
      <c r="D340" s="66"/>
      <c r="E340" s="59">
        <v>100000</v>
      </c>
      <c r="F340" s="67">
        <v>4</v>
      </c>
      <c r="G340" s="65" t="s">
        <v>1142</v>
      </c>
      <c r="H340" s="32" t="s">
        <v>4289</v>
      </c>
      <c r="I340" s="65" t="s">
        <v>4267</v>
      </c>
      <c r="J340" s="65" t="s">
        <v>4290</v>
      </c>
      <c r="K340" s="68" t="str">
        <f>"00029973"</f>
        <v>00029973</v>
      </c>
    </row>
    <row r="341" spans="1:11" ht="45" customHeight="1">
      <c r="A341" s="32">
        <v>105</v>
      </c>
      <c r="B341" s="45" t="s">
        <v>4231</v>
      </c>
      <c r="C341" s="65" t="s">
        <v>88</v>
      </c>
      <c r="D341" s="66"/>
      <c r="E341" s="59">
        <v>126929</v>
      </c>
      <c r="F341" s="67">
        <v>4</v>
      </c>
      <c r="G341" s="69" t="s">
        <v>1134</v>
      </c>
      <c r="H341" s="32" t="s">
        <v>4291</v>
      </c>
      <c r="I341" s="65" t="s">
        <v>3586</v>
      </c>
      <c r="J341" s="65" t="s">
        <v>4292</v>
      </c>
      <c r="K341" s="68" t="str">
        <f>"00031823"</f>
        <v>00031823</v>
      </c>
    </row>
    <row r="342" spans="1:11" ht="45" customHeight="1">
      <c r="A342" s="32">
        <v>105</v>
      </c>
      <c r="B342" s="45" t="s">
        <v>4293</v>
      </c>
      <c r="C342" s="65" t="s">
        <v>88</v>
      </c>
      <c r="D342" s="66"/>
      <c r="E342" s="59">
        <v>35951</v>
      </c>
      <c r="F342" s="67">
        <v>4</v>
      </c>
      <c r="G342" s="65" t="s">
        <v>1153</v>
      </c>
      <c r="H342" s="32" t="s">
        <v>4294</v>
      </c>
      <c r="I342" s="65" t="s">
        <v>3586</v>
      </c>
      <c r="J342" s="65" t="s">
        <v>544</v>
      </c>
      <c r="K342" s="68" t="str">
        <f>"00033277"</f>
        <v>00033277</v>
      </c>
    </row>
    <row r="343" spans="1:11" ht="45" customHeight="1">
      <c r="A343" s="32">
        <v>105</v>
      </c>
      <c r="B343" s="76" t="s">
        <v>4227</v>
      </c>
      <c r="C343" s="65" t="s">
        <v>88</v>
      </c>
      <c r="D343" s="66"/>
      <c r="E343" s="59">
        <v>86099</v>
      </c>
      <c r="F343" s="67">
        <v>4</v>
      </c>
      <c r="G343" s="65" t="s">
        <v>1131</v>
      </c>
      <c r="H343" s="32" t="s">
        <v>4295</v>
      </c>
      <c r="I343" s="65" t="s">
        <v>3577</v>
      </c>
      <c r="J343" s="65" t="s">
        <v>4228</v>
      </c>
      <c r="K343" s="68" t="str">
        <f>"00028836"</f>
        <v>00028836</v>
      </c>
    </row>
    <row r="344" spans="1:11" ht="45" customHeight="1">
      <c r="A344" s="32">
        <v>105</v>
      </c>
      <c r="B344" s="45" t="s">
        <v>4237</v>
      </c>
      <c r="C344" s="65" t="s">
        <v>88</v>
      </c>
      <c r="D344" s="66"/>
      <c r="E344" s="59">
        <v>52068</v>
      </c>
      <c r="F344" s="67">
        <v>4</v>
      </c>
      <c r="G344" s="65" t="s">
        <v>1128</v>
      </c>
      <c r="H344" s="32" t="s">
        <v>4296</v>
      </c>
      <c r="I344" s="65" t="s">
        <v>4297</v>
      </c>
      <c r="J344" s="65" t="s">
        <v>4298</v>
      </c>
      <c r="K344" s="68" t="str">
        <f>"00029659"</f>
        <v>00029659</v>
      </c>
    </row>
    <row r="345" spans="1:11" ht="45" customHeight="1">
      <c r="A345" s="32">
        <v>105</v>
      </c>
      <c r="B345" s="45" t="s">
        <v>4299</v>
      </c>
      <c r="C345" s="65" t="s">
        <v>88</v>
      </c>
      <c r="D345" s="66"/>
      <c r="E345" s="59">
        <v>26895</v>
      </c>
      <c r="F345" s="67">
        <v>4</v>
      </c>
      <c r="G345" s="65" t="s">
        <v>1158</v>
      </c>
      <c r="H345" s="32" t="s">
        <v>4300</v>
      </c>
      <c r="I345" s="65" t="s">
        <v>605</v>
      </c>
      <c r="J345" s="65" t="s">
        <v>443</v>
      </c>
      <c r="K345" s="68" t="str">
        <f>"00032449"</f>
        <v>00032449</v>
      </c>
    </row>
    <row r="346" spans="1:11" ht="45" customHeight="1">
      <c r="A346" s="32">
        <v>105</v>
      </c>
      <c r="B346" s="45" t="s">
        <v>4301</v>
      </c>
      <c r="C346" s="65" t="s">
        <v>88</v>
      </c>
      <c r="D346" s="66"/>
      <c r="E346" s="59">
        <v>30000</v>
      </c>
      <c r="F346" s="67">
        <v>4</v>
      </c>
      <c r="G346" s="65" t="s">
        <v>1145</v>
      </c>
      <c r="H346" s="32" t="s">
        <v>4302</v>
      </c>
      <c r="I346" s="65" t="s">
        <v>3586</v>
      </c>
      <c r="J346" s="74" t="s">
        <v>4303</v>
      </c>
      <c r="K346" s="68" t="str">
        <f>"00032870"</f>
        <v>00032870</v>
      </c>
    </row>
    <row r="347" spans="1:11" ht="45" customHeight="1">
      <c r="A347" s="32">
        <v>105</v>
      </c>
      <c r="B347" s="51" t="s">
        <v>4255</v>
      </c>
      <c r="C347" s="65" t="s">
        <v>88</v>
      </c>
      <c r="D347" s="66"/>
      <c r="E347" s="59">
        <v>9411</v>
      </c>
      <c r="F347" s="67">
        <v>4</v>
      </c>
      <c r="G347" s="65" t="s">
        <v>1144</v>
      </c>
      <c r="H347" s="32" t="s">
        <v>4304</v>
      </c>
      <c r="I347" s="65" t="s">
        <v>3586</v>
      </c>
      <c r="J347" s="69" t="s">
        <v>4305</v>
      </c>
      <c r="K347" s="68" t="str">
        <f>"00032225"</f>
        <v>00032225</v>
      </c>
    </row>
    <row r="348" spans="1:11" ht="45" customHeight="1">
      <c r="A348" s="32">
        <v>105</v>
      </c>
      <c r="B348" s="45" t="s">
        <v>4306</v>
      </c>
      <c r="C348" s="65" t="s">
        <v>88</v>
      </c>
      <c r="D348" s="66"/>
      <c r="E348" s="59">
        <v>45737</v>
      </c>
      <c r="F348" s="67">
        <v>4</v>
      </c>
      <c r="G348" s="65" t="s">
        <v>1155</v>
      </c>
      <c r="H348" s="32" t="s">
        <v>4307</v>
      </c>
      <c r="I348" s="65" t="s">
        <v>3586</v>
      </c>
      <c r="J348" s="65" t="s">
        <v>519</v>
      </c>
      <c r="K348" s="68" t="str">
        <f>"00031322"</f>
        <v>00031322</v>
      </c>
    </row>
    <row r="349" spans="1:11" ht="45" customHeight="1">
      <c r="A349" s="32">
        <v>105</v>
      </c>
      <c r="B349" s="49" t="s">
        <v>4227</v>
      </c>
      <c r="C349" s="65" t="s">
        <v>88</v>
      </c>
      <c r="D349" s="66"/>
      <c r="E349" s="59">
        <v>14049</v>
      </c>
      <c r="F349" s="67">
        <v>4</v>
      </c>
      <c r="G349" s="65" t="s">
        <v>1153</v>
      </c>
      <c r="H349" s="32" t="s">
        <v>4294</v>
      </c>
      <c r="I349" s="65" t="s">
        <v>3586</v>
      </c>
      <c r="J349" s="65" t="s">
        <v>544</v>
      </c>
      <c r="K349" s="68" t="str">
        <f>"00033277"</f>
        <v>00033277</v>
      </c>
    </row>
    <row r="350" spans="1:11" ht="45" customHeight="1">
      <c r="A350" s="32">
        <v>105</v>
      </c>
      <c r="B350" s="45" t="s">
        <v>4308</v>
      </c>
      <c r="C350" s="65" t="s">
        <v>88</v>
      </c>
      <c r="D350" s="66"/>
      <c r="E350" s="59">
        <v>85243</v>
      </c>
      <c r="F350" s="67">
        <v>4</v>
      </c>
      <c r="G350" s="65" t="s">
        <v>1154</v>
      </c>
      <c r="H350" s="32" t="s">
        <v>4309</v>
      </c>
      <c r="I350" s="65" t="s">
        <v>3586</v>
      </c>
      <c r="J350" s="65" t="s">
        <v>544</v>
      </c>
      <c r="K350" s="68" t="str">
        <f>"00033033"</f>
        <v>00033033</v>
      </c>
    </row>
    <row r="351" spans="1:11" ht="45" customHeight="1">
      <c r="A351" s="32">
        <v>105</v>
      </c>
      <c r="B351" s="45" t="s">
        <v>4310</v>
      </c>
      <c r="C351" s="65" t="s">
        <v>88</v>
      </c>
      <c r="D351" s="66"/>
      <c r="E351" s="59">
        <v>37500</v>
      </c>
      <c r="F351" s="67">
        <v>4</v>
      </c>
      <c r="G351" s="65" t="s">
        <v>1160</v>
      </c>
      <c r="H351" s="32" t="s">
        <v>4311</v>
      </c>
      <c r="I351" s="65" t="s">
        <v>4218</v>
      </c>
      <c r="J351" s="65" t="s">
        <v>523</v>
      </c>
      <c r="K351" s="68" t="str">
        <f>"00028098"</f>
        <v>00028098</v>
      </c>
    </row>
    <row r="352" spans="1:11" ht="45" customHeight="1">
      <c r="A352" s="32">
        <v>105</v>
      </c>
      <c r="B352" s="45" t="s">
        <v>4310</v>
      </c>
      <c r="C352" s="65" t="s">
        <v>88</v>
      </c>
      <c r="D352" s="66"/>
      <c r="E352" s="59">
        <v>37500</v>
      </c>
      <c r="F352" s="67">
        <v>4</v>
      </c>
      <c r="G352" s="65" t="s">
        <v>1163</v>
      </c>
      <c r="H352" s="32" t="s">
        <v>4311</v>
      </c>
      <c r="I352" s="65" t="s">
        <v>4218</v>
      </c>
      <c r="J352" s="65" t="s">
        <v>523</v>
      </c>
      <c r="K352" s="68" t="str">
        <f>"00028060"</f>
        <v>00028060</v>
      </c>
    </row>
    <row r="353" spans="1:11" ht="45" customHeight="1">
      <c r="A353" s="32">
        <v>105</v>
      </c>
      <c r="B353" s="45" t="s">
        <v>4310</v>
      </c>
      <c r="C353" s="65" t="s">
        <v>88</v>
      </c>
      <c r="D353" s="66"/>
      <c r="E353" s="59">
        <v>33250</v>
      </c>
      <c r="F353" s="67">
        <v>4</v>
      </c>
      <c r="G353" s="65" t="s">
        <v>1160</v>
      </c>
      <c r="H353" s="32" t="s">
        <v>4312</v>
      </c>
      <c r="I353" s="65" t="s">
        <v>4218</v>
      </c>
      <c r="J353" s="65" t="s">
        <v>523</v>
      </c>
      <c r="K353" s="68" t="str">
        <f>"00028105"</f>
        <v>00028105</v>
      </c>
    </row>
    <row r="354" spans="1:11" ht="45" customHeight="1">
      <c r="A354" s="32">
        <v>105</v>
      </c>
      <c r="B354" s="45" t="s">
        <v>4310</v>
      </c>
      <c r="C354" s="65" t="s">
        <v>88</v>
      </c>
      <c r="D354" s="66"/>
      <c r="E354" s="59">
        <v>37500</v>
      </c>
      <c r="F354" s="67">
        <v>4</v>
      </c>
      <c r="G354" s="65" t="s">
        <v>1160</v>
      </c>
      <c r="H354" s="32" t="s">
        <v>4238</v>
      </c>
      <c r="I354" s="65" t="s">
        <v>4218</v>
      </c>
      <c r="J354" s="65" t="s">
        <v>523</v>
      </c>
      <c r="K354" s="68" t="str">
        <f>"00027954"</f>
        <v>00027954</v>
      </c>
    </row>
    <row r="355" spans="1:11" ht="45" customHeight="1">
      <c r="A355" s="32">
        <v>105</v>
      </c>
      <c r="B355" s="45" t="s">
        <v>4310</v>
      </c>
      <c r="C355" s="65" t="s">
        <v>88</v>
      </c>
      <c r="D355" s="66"/>
      <c r="E355" s="59">
        <v>35000</v>
      </c>
      <c r="F355" s="67">
        <v>4</v>
      </c>
      <c r="G355" s="65" t="s">
        <v>1160</v>
      </c>
      <c r="H355" s="32" t="s">
        <v>4313</v>
      </c>
      <c r="I355" s="65" t="s">
        <v>4218</v>
      </c>
      <c r="J355" s="65" t="s">
        <v>523</v>
      </c>
      <c r="K355" s="68" t="str">
        <f>"00028102"</f>
        <v>00028102</v>
      </c>
    </row>
    <row r="356" spans="1:11" ht="45" customHeight="1">
      <c r="A356" s="32">
        <v>105</v>
      </c>
      <c r="B356" s="45" t="s">
        <v>4310</v>
      </c>
      <c r="C356" s="65" t="s">
        <v>88</v>
      </c>
      <c r="D356" s="66"/>
      <c r="E356" s="59">
        <v>41800</v>
      </c>
      <c r="F356" s="67">
        <v>4</v>
      </c>
      <c r="G356" s="65" t="s">
        <v>1160</v>
      </c>
      <c r="H356" s="32" t="s">
        <v>4313</v>
      </c>
      <c r="I356" s="65" t="s">
        <v>4218</v>
      </c>
      <c r="J356" s="65" t="s">
        <v>523</v>
      </c>
      <c r="K356" s="68" t="str">
        <f>"00028063"</f>
        <v>00028063</v>
      </c>
    </row>
    <row r="357" spans="1:11" ht="45" customHeight="1">
      <c r="A357" s="32">
        <v>105</v>
      </c>
      <c r="B357" s="45" t="s">
        <v>4310</v>
      </c>
      <c r="C357" s="65" t="s">
        <v>88</v>
      </c>
      <c r="D357" s="66"/>
      <c r="E357" s="59">
        <v>37500</v>
      </c>
      <c r="F357" s="67">
        <v>4</v>
      </c>
      <c r="G357" s="65" t="s">
        <v>1160</v>
      </c>
      <c r="H357" s="32" t="s">
        <v>4311</v>
      </c>
      <c r="I357" s="65" t="s">
        <v>4218</v>
      </c>
      <c r="J357" s="65" t="s">
        <v>523</v>
      </c>
      <c r="K357" s="68" t="str">
        <f>"00028103"</f>
        <v>00028103</v>
      </c>
    </row>
    <row r="358" spans="1:11" ht="45" customHeight="1">
      <c r="A358" s="32">
        <v>105</v>
      </c>
      <c r="B358" s="45" t="s">
        <v>4310</v>
      </c>
      <c r="C358" s="65" t="s">
        <v>88</v>
      </c>
      <c r="D358" s="66"/>
      <c r="E358" s="59">
        <v>35000</v>
      </c>
      <c r="F358" s="67">
        <v>4</v>
      </c>
      <c r="G358" s="65" t="s">
        <v>1160</v>
      </c>
      <c r="H358" s="32" t="s">
        <v>4313</v>
      </c>
      <c r="I358" s="65" t="s">
        <v>4218</v>
      </c>
      <c r="J358" s="65" t="s">
        <v>523</v>
      </c>
      <c r="K358" s="68" t="str">
        <f>"00028099"</f>
        <v>00028099</v>
      </c>
    </row>
    <row r="359" spans="1:11" ht="45" customHeight="1">
      <c r="A359" s="32">
        <v>105</v>
      </c>
      <c r="B359" s="45" t="s">
        <v>4310</v>
      </c>
      <c r="C359" s="65" t="s">
        <v>88</v>
      </c>
      <c r="D359" s="66"/>
      <c r="E359" s="59">
        <v>37500</v>
      </c>
      <c r="F359" s="67">
        <v>4</v>
      </c>
      <c r="G359" s="65" t="s">
        <v>1160</v>
      </c>
      <c r="H359" s="32" t="s">
        <v>4314</v>
      </c>
      <c r="I359" s="65" t="s">
        <v>4218</v>
      </c>
      <c r="J359" s="65" t="s">
        <v>523</v>
      </c>
      <c r="K359" s="68" t="str">
        <f>"00028096"</f>
        <v>00028096</v>
      </c>
    </row>
    <row r="360" spans="1:11" ht="45" customHeight="1">
      <c r="A360" s="32">
        <v>105</v>
      </c>
      <c r="B360" s="45" t="s">
        <v>4310</v>
      </c>
      <c r="C360" s="65" t="s">
        <v>88</v>
      </c>
      <c r="D360" s="66"/>
      <c r="E360" s="59">
        <v>37500</v>
      </c>
      <c r="F360" s="67">
        <v>4</v>
      </c>
      <c r="G360" s="65" t="s">
        <v>1160</v>
      </c>
      <c r="H360" s="32" t="s">
        <v>4311</v>
      </c>
      <c r="I360" s="65" t="s">
        <v>4218</v>
      </c>
      <c r="J360" s="65" t="s">
        <v>523</v>
      </c>
      <c r="K360" s="68" t="str">
        <f>"00028260"</f>
        <v>00028260</v>
      </c>
    </row>
    <row r="361" spans="1:11" ht="45" customHeight="1">
      <c r="A361" s="32">
        <v>105</v>
      </c>
      <c r="B361" s="45" t="s">
        <v>4310</v>
      </c>
      <c r="C361" s="65" t="s">
        <v>88</v>
      </c>
      <c r="D361" s="66"/>
      <c r="E361" s="59">
        <v>37500</v>
      </c>
      <c r="F361" s="67">
        <v>4</v>
      </c>
      <c r="G361" s="65" t="s">
        <v>1160</v>
      </c>
      <c r="H361" s="32" t="s">
        <v>4311</v>
      </c>
      <c r="I361" s="65" t="s">
        <v>4218</v>
      </c>
      <c r="J361" s="65" t="s">
        <v>523</v>
      </c>
      <c r="K361" s="68" t="str">
        <f>"00028097"</f>
        <v>00028097</v>
      </c>
    </row>
    <row r="362" spans="1:11" ht="45" customHeight="1">
      <c r="A362" s="32">
        <v>105</v>
      </c>
      <c r="B362" s="45" t="s">
        <v>4315</v>
      </c>
      <c r="C362" s="65" t="s">
        <v>88</v>
      </c>
      <c r="D362" s="66"/>
      <c r="E362" s="59">
        <v>70000</v>
      </c>
      <c r="F362" s="67">
        <v>4</v>
      </c>
      <c r="G362" s="65" t="s">
        <v>1159</v>
      </c>
      <c r="H362" s="32" t="s">
        <v>4240</v>
      </c>
      <c r="I362" s="65" t="s">
        <v>4218</v>
      </c>
      <c r="J362" s="65" t="s">
        <v>523</v>
      </c>
      <c r="K362" s="68" t="str">
        <f>"00026923"</f>
        <v>00026923</v>
      </c>
    </row>
    <row r="363" spans="1:11" ht="45" customHeight="1">
      <c r="A363" s="32">
        <v>105</v>
      </c>
      <c r="B363" s="45" t="s">
        <v>4316</v>
      </c>
      <c r="C363" s="65" t="s">
        <v>88</v>
      </c>
      <c r="D363" s="66"/>
      <c r="E363" s="59">
        <v>318316</v>
      </c>
      <c r="F363" s="67">
        <v>4</v>
      </c>
      <c r="G363" s="65" t="s">
        <v>175</v>
      </c>
      <c r="H363" s="32" t="s">
        <v>4317</v>
      </c>
      <c r="I363" s="65" t="s">
        <v>3577</v>
      </c>
      <c r="J363" s="71" t="s">
        <v>4318</v>
      </c>
      <c r="K363" s="68" t="str">
        <f>"00021557"</f>
        <v>00021557</v>
      </c>
    </row>
    <row r="364" spans="1:11" ht="45" customHeight="1">
      <c r="A364" s="30">
        <v>105</v>
      </c>
      <c r="B364" s="45" t="s">
        <v>4322</v>
      </c>
      <c r="C364" s="45" t="s">
        <v>38</v>
      </c>
      <c r="D364" s="46"/>
      <c r="E364" s="47">
        <v>19066</v>
      </c>
      <c r="F364" s="48">
        <v>4</v>
      </c>
      <c r="G364" s="45" t="s">
        <v>4322</v>
      </c>
      <c r="H364" s="30" t="s">
        <v>1139</v>
      </c>
      <c r="I364" s="45" t="s">
        <v>92</v>
      </c>
      <c r="J364" s="45" t="s">
        <v>200</v>
      </c>
      <c r="K364" s="50" t="str">
        <f>"00028800"</f>
        <v>00028800</v>
      </c>
    </row>
    <row r="365" spans="1:11" ht="45" customHeight="1">
      <c r="A365" s="30">
        <v>105</v>
      </c>
      <c r="B365" s="45" t="s">
        <v>4323</v>
      </c>
      <c r="C365" s="45" t="s">
        <v>38</v>
      </c>
      <c r="D365" s="46"/>
      <c r="E365" s="47">
        <v>12201</v>
      </c>
      <c r="F365" s="48">
        <v>4</v>
      </c>
      <c r="G365" s="45" t="s">
        <v>1117</v>
      </c>
      <c r="H365" s="30" t="s">
        <v>1118</v>
      </c>
      <c r="I365" s="45" t="s">
        <v>107</v>
      </c>
      <c r="J365" s="49" t="s">
        <v>1119</v>
      </c>
      <c r="K365" s="50" t="str">
        <f>"00026372"</f>
        <v>00026372</v>
      </c>
    </row>
    <row r="366" spans="1:11" ht="45" customHeight="1">
      <c r="A366" s="30">
        <v>105</v>
      </c>
      <c r="B366" s="45" t="s">
        <v>4324</v>
      </c>
      <c r="C366" s="45" t="s">
        <v>38</v>
      </c>
      <c r="D366" s="46"/>
      <c r="E366" s="47">
        <v>44940</v>
      </c>
      <c r="F366" s="48">
        <v>4</v>
      </c>
      <c r="G366" s="45" t="s">
        <v>1104</v>
      </c>
      <c r="H366" s="30" t="s">
        <v>1105</v>
      </c>
      <c r="I366" s="45" t="s">
        <v>111</v>
      </c>
      <c r="J366" s="45" t="s">
        <v>350</v>
      </c>
      <c r="K366" s="50" t="str">
        <f>"00029466"</f>
        <v>00029466</v>
      </c>
    </row>
    <row r="367" spans="1:11" ht="45" customHeight="1">
      <c r="A367" s="30">
        <v>105</v>
      </c>
      <c r="B367" s="45" t="s">
        <v>4325</v>
      </c>
      <c r="C367" s="45" t="s">
        <v>38</v>
      </c>
      <c r="D367" s="46"/>
      <c r="E367" s="47">
        <v>99677</v>
      </c>
      <c r="F367" s="48">
        <v>4</v>
      </c>
      <c r="G367" s="45" t="s">
        <v>1104</v>
      </c>
      <c r="H367" s="30" t="s">
        <v>888</v>
      </c>
      <c r="I367" s="45" t="s">
        <v>111</v>
      </c>
      <c r="J367" s="45" t="s">
        <v>350</v>
      </c>
      <c r="K367" s="50" t="str">
        <f>"00029463"</f>
        <v>00029463</v>
      </c>
    </row>
    <row r="368" spans="1:11" ht="45" customHeight="1">
      <c r="A368" s="30">
        <v>105</v>
      </c>
      <c r="B368" s="45" t="s">
        <v>4326</v>
      </c>
      <c r="C368" s="45" t="s">
        <v>38</v>
      </c>
      <c r="D368" s="46"/>
      <c r="E368" s="47">
        <v>51388</v>
      </c>
      <c r="F368" s="48">
        <v>4</v>
      </c>
      <c r="G368" s="51" t="s">
        <v>4327</v>
      </c>
      <c r="H368" s="30" t="s">
        <v>4328</v>
      </c>
      <c r="I368" s="45" t="s">
        <v>102</v>
      </c>
      <c r="J368" s="45" t="s">
        <v>1811</v>
      </c>
      <c r="K368" s="50" t="str">
        <f>"00030828"</f>
        <v>00030828</v>
      </c>
    </row>
    <row r="369" spans="1:11" ht="45" customHeight="1">
      <c r="A369" s="30">
        <v>105</v>
      </c>
      <c r="B369" s="45" t="s">
        <v>4326</v>
      </c>
      <c r="C369" s="45" t="s">
        <v>38</v>
      </c>
      <c r="D369" s="46"/>
      <c r="E369" s="47">
        <v>15853</v>
      </c>
      <c r="F369" s="48">
        <v>4</v>
      </c>
      <c r="G369" s="45" t="s">
        <v>4329</v>
      </c>
      <c r="H369" s="30" t="s">
        <v>4330</v>
      </c>
      <c r="I369" s="45" t="s">
        <v>102</v>
      </c>
      <c r="J369" s="45" t="s">
        <v>1811</v>
      </c>
      <c r="K369" s="50" t="str">
        <f>"00030827"</f>
        <v>00030827</v>
      </c>
    </row>
    <row r="370" spans="1:11" ht="45" customHeight="1">
      <c r="A370" s="30">
        <v>105</v>
      </c>
      <c r="B370" s="51" t="s">
        <v>4345</v>
      </c>
      <c r="C370" s="45" t="s">
        <v>322</v>
      </c>
      <c r="D370" s="46"/>
      <c r="E370" s="47">
        <v>6058</v>
      </c>
      <c r="F370" s="48" t="s">
        <v>440</v>
      </c>
      <c r="G370" s="45" t="s">
        <v>4341</v>
      </c>
      <c r="H370" s="30" t="s">
        <v>4342</v>
      </c>
      <c r="I370" s="45" t="s">
        <v>4343</v>
      </c>
      <c r="J370" s="45" t="s">
        <v>4344</v>
      </c>
      <c r="K370" s="50"/>
    </row>
    <row r="371" spans="1:11" ht="45" customHeight="1">
      <c r="A371" s="30"/>
      <c r="B371" s="58" t="s">
        <v>144</v>
      </c>
      <c r="C371" s="45"/>
      <c r="D371" s="46"/>
      <c r="E371" s="47">
        <f>SUM(E302:E370)</f>
        <v>3795108</v>
      </c>
      <c r="F371" s="48"/>
      <c r="G371" s="45"/>
      <c r="H371" s="30"/>
      <c r="I371" s="45"/>
      <c r="J371" s="45"/>
      <c r="K371" s="50"/>
    </row>
    <row r="372" spans="1:11" ht="45" customHeight="1">
      <c r="A372" s="30"/>
      <c r="B372" s="56" t="s">
        <v>185</v>
      </c>
      <c r="C372" s="45"/>
      <c r="D372" s="46"/>
      <c r="E372" s="47"/>
      <c r="F372" s="48"/>
      <c r="G372" s="45"/>
      <c r="H372" s="30"/>
      <c r="I372" s="45"/>
      <c r="J372" s="45"/>
      <c r="K372" s="50"/>
    </row>
    <row r="373" spans="1:11" ht="45" customHeight="1">
      <c r="A373" s="30">
        <v>105</v>
      </c>
      <c r="B373" s="45" t="s">
        <v>312</v>
      </c>
      <c r="C373" s="45" t="s">
        <v>38</v>
      </c>
      <c r="D373" s="46"/>
      <c r="E373" s="47">
        <v>22910</v>
      </c>
      <c r="F373" s="48">
        <v>4</v>
      </c>
      <c r="G373" s="45" t="s">
        <v>1251</v>
      </c>
      <c r="H373" s="30" t="s">
        <v>1252</v>
      </c>
      <c r="I373" s="45" t="s">
        <v>107</v>
      </c>
      <c r="J373" s="45" t="s">
        <v>1253</v>
      </c>
      <c r="K373" s="50" t="str">
        <f>"00026931"</f>
        <v>00026931</v>
      </c>
    </row>
    <row r="374" spans="1:11" ht="45" customHeight="1">
      <c r="A374" s="30">
        <v>105</v>
      </c>
      <c r="B374" s="45" t="s">
        <v>307</v>
      </c>
      <c r="C374" s="45" t="s">
        <v>38</v>
      </c>
      <c r="D374" s="46"/>
      <c r="E374" s="47">
        <v>36412</v>
      </c>
      <c r="F374" s="48">
        <v>4</v>
      </c>
      <c r="G374" s="45" t="s">
        <v>1216</v>
      </c>
      <c r="H374" s="30" t="s">
        <v>1217</v>
      </c>
      <c r="I374" s="45" t="s">
        <v>304</v>
      </c>
      <c r="J374" s="45" t="s">
        <v>567</v>
      </c>
      <c r="K374" s="50" t="s">
        <v>3513</v>
      </c>
    </row>
    <row r="375" spans="1:11" ht="45" customHeight="1">
      <c r="A375" s="30">
        <v>105</v>
      </c>
      <c r="B375" s="45" t="s">
        <v>316</v>
      </c>
      <c r="C375" s="45" t="s">
        <v>38</v>
      </c>
      <c r="D375" s="46"/>
      <c r="E375" s="47">
        <v>29240</v>
      </c>
      <c r="F375" s="48">
        <v>4</v>
      </c>
      <c r="G375" s="45" t="s">
        <v>292</v>
      </c>
      <c r="H375" s="30" t="s">
        <v>1215</v>
      </c>
      <c r="I375" s="45" t="s">
        <v>107</v>
      </c>
      <c r="J375" s="45" t="s">
        <v>336</v>
      </c>
      <c r="K375" s="50" t="s">
        <v>3514</v>
      </c>
    </row>
    <row r="376" spans="1:11" ht="45" customHeight="1">
      <c r="A376" s="30">
        <v>105</v>
      </c>
      <c r="B376" s="45" t="s">
        <v>310</v>
      </c>
      <c r="C376" s="45" t="s">
        <v>38</v>
      </c>
      <c r="D376" s="46"/>
      <c r="E376" s="47">
        <v>38830</v>
      </c>
      <c r="F376" s="48">
        <v>4</v>
      </c>
      <c r="G376" s="45" t="s">
        <v>1221</v>
      </c>
      <c r="H376" s="30" t="s">
        <v>1222</v>
      </c>
      <c r="I376" s="45" t="s">
        <v>92</v>
      </c>
      <c r="J376" s="45" t="s">
        <v>293</v>
      </c>
      <c r="K376" s="50" t="str">
        <f>"00027572"</f>
        <v>00027572</v>
      </c>
    </row>
    <row r="377" spans="1:11" ht="45" customHeight="1">
      <c r="A377" s="30">
        <v>105</v>
      </c>
      <c r="B377" s="45" t="s">
        <v>301</v>
      </c>
      <c r="C377" s="45" t="s">
        <v>38</v>
      </c>
      <c r="D377" s="46"/>
      <c r="E377" s="47">
        <v>74000</v>
      </c>
      <c r="F377" s="48">
        <v>4</v>
      </c>
      <c r="G377" s="45" t="s">
        <v>1177</v>
      </c>
      <c r="H377" s="30" t="s">
        <v>1178</v>
      </c>
      <c r="I377" s="45" t="s">
        <v>1179</v>
      </c>
      <c r="J377" s="45" t="s">
        <v>1180</v>
      </c>
      <c r="K377" s="50" t="s">
        <v>3515</v>
      </c>
    </row>
    <row r="378" spans="1:11" ht="45" customHeight="1">
      <c r="A378" s="30">
        <v>105</v>
      </c>
      <c r="B378" s="45" t="s">
        <v>300</v>
      </c>
      <c r="C378" s="45" t="s">
        <v>38</v>
      </c>
      <c r="D378" s="46"/>
      <c r="E378" s="47">
        <v>29002</v>
      </c>
      <c r="F378" s="48">
        <v>4</v>
      </c>
      <c r="G378" s="45" t="s">
        <v>1218</v>
      </c>
      <c r="H378" s="30" t="s">
        <v>1219</v>
      </c>
      <c r="I378" s="45" t="s">
        <v>107</v>
      </c>
      <c r="J378" s="45" t="s">
        <v>1220</v>
      </c>
      <c r="K378" s="50" t="str">
        <f>"00028851"</f>
        <v>00028851</v>
      </c>
    </row>
    <row r="379" spans="1:11" ht="45" customHeight="1">
      <c r="A379" s="30">
        <v>105</v>
      </c>
      <c r="B379" s="76" t="s">
        <v>1189</v>
      </c>
      <c r="C379" s="45" t="s">
        <v>38</v>
      </c>
      <c r="D379" s="46"/>
      <c r="E379" s="47">
        <v>81777</v>
      </c>
      <c r="F379" s="48">
        <v>4</v>
      </c>
      <c r="G379" s="45" t="s">
        <v>1254</v>
      </c>
      <c r="H379" s="30" t="s">
        <v>1255</v>
      </c>
      <c r="I379" s="45" t="s">
        <v>107</v>
      </c>
      <c r="J379" s="45" t="s">
        <v>108</v>
      </c>
      <c r="K379" s="61" t="s">
        <v>3518</v>
      </c>
    </row>
    <row r="380" spans="1:11" ht="45" customHeight="1">
      <c r="A380" s="30">
        <v>105</v>
      </c>
      <c r="B380" s="45" t="s">
        <v>1170</v>
      </c>
      <c r="C380" s="45" t="s">
        <v>38</v>
      </c>
      <c r="D380" s="46"/>
      <c r="E380" s="47">
        <v>48534</v>
      </c>
      <c r="F380" s="48">
        <v>4</v>
      </c>
      <c r="G380" s="45" t="s">
        <v>1171</v>
      </c>
      <c r="H380" s="30" t="s">
        <v>1172</v>
      </c>
      <c r="I380" s="45" t="s">
        <v>92</v>
      </c>
      <c r="J380" s="45" t="s">
        <v>110</v>
      </c>
      <c r="K380" s="61" t="s">
        <v>3519</v>
      </c>
    </row>
    <row r="381" spans="1:11" ht="45" customHeight="1">
      <c r="A381" s="30">
        <v>105</v>
      </c>
      <c r="B381" s="45" t="s">
        <v>1181</v>
      </c>
      <c r="C381" s="45" t="s">
        <v>38</v>
      </c>
      <c r="D381" s="46"/>
      <c r="E381" s="47">
        <v>50000</v>
      </c>
      <c r="F381" s="48">
        <v>4</v>
      </c>
      <c r="G381" s="45" t="s">
        <v>292</v>
      </c>
      <c r="H381" s="30" t="s">
        <v>1183</v>
      </c>
      <c r="I381" s="45" t="s">
        <v>92</v>
      </c>
      <c r="J381" s="45" t="s">
        <v>167</v>
      </c>
      <c r="K381" s="61" t="s">
        <v>3520</v>
      </c>
    </row>
    <row r="382" spans="1:11" ht="45" customHeight="1">
      <c r="A382" s="30">
        <v>105</v>
      </c>
      <c r="B382" s="76" t="s">
        <v>1165</v>
      </c>
      <c r="C382" s="45" t="s">
        <v>38</v>
      </c>
      <c r="D382" s="46"/>
      <c r="E382" s="47">
        <v>8130</v>
      </c>
      <c r="F382" s="48">
        <v>4</v>
      </c>
      <c r="G382" s="45" t="s">
        <v>1166</v>
      </c>
      <c r="H382" s="30" t="s">
        <v>1161</v>
      </c>
      <c r="I382" s="45" t="s">
        <v>107</v>
      </c>
      <c r="J382" s="45" t="s">
        <v>108</v>
      </c>
      <c r="K382" s="50" t="str">
        <f>"00028235"</f>
        <v>00028235</v>
      </c>
    </row>
    <row r="383" spans="1:11" ht="45" customHeight="1">
      <c r="A383" s="30">
        <v>105</v>
      </c>
      <c r="B383" s="45" t="s">
        <v>300</v>
      </c>
      <c r="C383" s="45" t="s">
        <v>38</v>
      </c>
      <c r="D383" s="46"/>
      <c r="E383" s="47">
        <v>140269</v>
      </c>
      <c r="F383" s="48">
        <v>4</v>
      </c>
      <c r="G383" s="45" t="s">
        <v>292</v>
      </c>
      <c r="H383" s="30" t="s">
        <v>1167</v>
      </c>
      <c r="I383" s="51" t="s">
        <v>1168</v>
      </c>
      <c r="J383" s="45" t="s">
        <v>1169</v>
      </c>
      <c r="K383" s="61" t="s">
        <v>3521</v>
      </c>
    </row>
    <row r="384" spans="1:11" ht="45" customHeight="1">
      <c r="A384" s="30">
        <v>105</v>
      </c>
      <c r="B384" s="45" t="s">
        <v>1181</v>
      </c>
      <c r="C384" s="45" t="s">
        <v>38</v>
      </c>
      <c r="D384" s="46"/>
      <c r="E384" s="47">
        <v>55000</v>
      </c>
      <c r="F384" s="48">
        <v>4</v>
      </c>
      <c r="G384" s="45" t="s">
        <v>292</v>
      </c>
      <c r="H384" s="30" t="s">
        <v>1182</v>
      </c>
      <c r="I384" s="45" t="s">
        <v>275</v>
      </c>
      <c r="J384" s="45" t="s">
        <v>276</v>
      </c>
      <c r="K384" s="61" t="s">
        <v>3522</v>
      </c>
    </row>
    <row r="385" spans="1:11" ht="45" customHeight="1">
      <c r="A385" s="30">
        <v>105</v>
      </c>
      <c r="B385" s="45" t="s">
        <v>296</v>
      </c>
      <c r="C385" s="45" t="s">
        <v>38</v>
      </c>
      <c r="D385" s="46"/>
      <c r="E385" s="47">
        <v>126203</v>
      </c>
      <c r="F385" s="48">
        <v>4</v>
      </c>
      <c r="G385" s="45" t="s">
        <v>292</v>
      </c>
      <c r="H385" s="30" t="s">
        <v>1164</v>
      </c>
      <c r="I385" s="45" t="s">
        <v>91</v>
      </c>
      <c r="J385" s="45" t="s">
        <v>381</v>
      </c>
      <c r="K385" s="61" t="s">
        <v>3523</v>
      </c>
    </row>
    <row r="386" spans="1:11" ht="45" customHeight="1">
      <c r="A386" s="30">
        <v>105</v>
      </c>
      <c r="B386" s="45" t="s">
        <v>1181</v>
      </c>
      <c r="C386" s="45" t="s">
        <v>38</v>
      </c>
      <c r="D386" s="46"/>
      <c r="E386" s="47">
        <v>20001</v>
      </c>
      <c r="F386" s="48">
        <v>4</v>
      </c>
      <c r="G386" s="45" t="s">
        <v>292</v>
      </c>
      <c r="H386" s="30" t="s">
        <v>1187</v>
      </c>
      <c r="I386" s="45" t="s">
        <v>152</v>
      </c>
      <c r="J386" s="45" t="s">
        <v>1188</v>
      </c>
      <c r="K386" s="61" t="s">
        <v>3524</v>
      </c>
    </row>
    <row r="387" spans="1:11" ht="45" customHeight="1">
      <c r="A387" s="30">
        <v>105</v>
      </c>
      <c r="B387" s="76" t="s">
        <v>318</v>
      </c>
      <c r="C387" s="45" t="s">
        <v>38</v>
      </c>
      <c r="D387" s="46"/>
      <c r="E387" s="47">
        <v>12989</v>
      </c>
      <c r="F387" s="48">
        <v>4</v>
      </c>
      <c r="G387" s="45" t="s">
        <v>292</v>
      </c>
      <c r="H387" s="30" t="s">
        <v>1147</v>
      </c>
      <c r="I387" s="45" t="s">
        <v>470</v>
      </c>
      <c r="J387" s="49" t="s">
        <v>1186</v>
      </c>
      <c r="K387" s="61" t="s">
        <v>3525</v>
      </c>
    </row>
    <row r="388" spans="1:11" ht="45" customHeight="1">
      <c r="A388" s="30">
        <v>105</v>
      </c>
      <c r="B388" s="76" t="s">
        <v>1189</v>
      </c>
      <c r="C388" s="45" t="s">
        <v>38</v>
      </c>
      <c r="D388" s="46"/>
      <c r="E388" s="47">
        <v>58223</v>
      </c>
      <c r="F388" s="48">
        <v>4</v>
      </c>
      <c r="G388" s="45" t="s">
        <v>292</v>
      </c>
      <c r="H388" s="30" t="s">
        <v>1147</v>
      </c>
      <c r="I388" s="45" t="s">
        <v>470</v>
      </c>
      <c r="J388" s="49" t="s">
        <v>1186</v>
      </c>
      <c r="K388" s="61" t="s">
        <v>3526</v>
      </c>
    </row>
    <row r="389" spans="1:11" ht="45" customHeight="1">
      <c r="A389" s="30">
        <v>105</v>
      </c>
      <c r="B389" s="76" t="s">
        <v>1165</v>
      </c>
      <c r="C389" s="45" t="s">
        <v>38</v>
      </c>
      <c r="D389" s="46"/>
      <c r="E389" s="47">
        <v>78630</v>
      </c>
      <c r="F389" s="48">
        <v>4</v>
      </c>
      <c r="G389" s="45" t="s">
        <v>292</v>
      </c>
      <c r="H389" s="30" t="s">
        <v>1147</v>
      </c>
      <c r="I389" s="45" t="s">
        <v>470</v>
      </c>
      <c r="J389" s="49" t="s">
        <v>1186</v>
      </c>
      <c r="K389" s="61" t="s">
        <v>3526</v>
      </c>
    </row>
    <row r="390" spans="1:11" ht="45" customHeight="1">
      <c r="A390" s="30">
        <v>105</v>
      </c>
      <c r="B390" s="76" t="s">
        <v>1190</v>
      </c>
      <c r="C390" s="45" t="s">
        <v>38</v>
      </c>
      <c r="D390" s="46"/>
      <c r="E390" s="47">
        <v>74045</v>
      </c>
      <c r="F390" s="48">
        <v>4</v>
      </c>
      <c r="G390" s="45" t="s">
        <v>1191</v>
      </c>
      <c r="H390" s="30" t="s">
        <v>1192</v>
      </c>
      <c r="I390" s="45" t="s">
        <v>275</v>
      </c>
      <c r="J390" s="45" t="s">
        <v>276</v>
      </c>
      <c r="K390" s="50" t="s">
        <v>3530</v>
      </c>
    </row>
    <row r="391" spans="1:11" ht="45" customHeight="1">
      <c r="A391" s="30">
        <v>105</v>
      </c>
      <c r="B391" s="76" t="s">
        <v>1165</v>
      </c>
      <c r="C391" s="45" t="s">
        <v>38</v>
      </c>
      <c r="D391" s="46"/>
      <c r="E391" s="47">
        <v>94667</v>
      </c>
      <c r="F391" s="48">
        <v>4</v>
      </c>
      <c r="G391" s="45" t="s">
        <v>1195</v>
      </c>
      <c r="H391" s="30" t="s">
        <v>1196</v>
      </c>
      <c r="I391" s="45" t="s">
        <v>111</v>
      </c>
      <c r="J391" s="45" t="s">
        <v>1197</v>
      </c>
      <c r="K391" s="61" t="s">
        <v>3527</v>
      </c>
    </row>
    <row r="392" spans="1:11" ht="45" customHeight="1">
      <c r="A392" s="30">
        <v>105</v>
      </c>
      <c r="B392" s="76" t="s">
        <v>1165</v>
      </c>
      <c r="C392" s="45" t="s">
        <v>38</v>
      </c>
      <c r="D392" s="46"/>
      <c r="E392" s="47">
        <v>72029</v>
      </c>
      <c r="F392" s="48">
        <v>4</v>
      </c>
      <c r="G392" s="45" t="s">
        <v>1184</v>
      </c>
      <c r="H392" s="30" t="s">
        <v>1185</v>
      </c>
      <c r="I392" s="45" t="s">
        <v>275</v>
      </c>
      <c r="J392" s="45" t="s">
        <v>276</v>
      </c>
      <c r="K392" s="61" t="s">
        <v>3528</v>
      </c>
    </row>
    <row r="393" spans="1:11" ht="45" customHeight="1">
      <c r="A393" s="30">
        <v>105</v>
      </c>
      <c r="B393" s="76" t="s">
        <v>1165</v>
      </c>
      <c r="C393" s="45" t="s">
        <v>38</v>
      </c>
      <c r="D393" s="46"/>
      <c r="E393" s="47">
        <v>99220</v>
      </c>
      <c r="F393" s="48">
        <v>4</v>
      </c>
      <c r="G393" s="45" t="s">
        <v>1193</v>
      </c>
      <c r="H393" s="30" t="s">
        <v>1194</v>
      </c>
      <c r="I393" s="45" t="s">
        <v>120</v>
      </c>
      <c r="J393" s="45" t="s">
        <v>120</v>
      </c>
      <c r="K393" s="61" t="s">
        <v>3529</v>
      </c>
    </row>
    <row r="394" spans="1:11" ht="45" customHeight="1">
      <c r="A394" s="30">
        <v>105</v>
      </c>
      <c r="B394" s="45" t="s">
        <v>313</v>
      </c>
      <c r="C394" s="45" t="s">
        <v>38</v>
      </c>
      <c r="D394" s="46"/>
      <c r="E394" s="47">
        <v>57858</v>
      </c>
      <c r="F394" s="48">
        <v>4</v>
      </c>
      <c r="G394" s="45" t="s">
        <v>1173</v>
      </c>
      <c r="H394" s="30" t="s">
        <v>1174</v>
      </c>
      <c r="I394" s="45" t="s">
        <v>107</v>
      </c>
      <c r="J394" s="45" t="s">
        <v>108</v>
      </c>
      <c r="K394" s="50" t="str">
        <f>"00030457"</f>
        <v>00030457</v>
      </c>
    </row>
    <row r="395" spans="1:11" ht="45" customHeight="1">
      <c r="A395" s="30">
        <v>105</v>
      </c>
      <c r="B395" s="45" t="s">
        <v>1200</v>
      </c>
      <c r="C395" s="45" t="s">
        <v>38</v>
      </c>
      <c r="D395" s="46"/>
      <c r="E395" s="47">
        <v>85047</v>
      </c>
      <c r="F395" s="48">
        <v>4</v>
      </c>
      <c r="G395" s="45" t="s">
        <v>1201</v>
      </c>
      <c r="H395" s="30" t="s">
        <v>1202</v>
      </c>
      <c r="I395" s="45" t="s">
        <v>92</v>
      </c>
      <c r="J395" s="45" t="s">
        <v>156</v>
      </c>
      <c r="K395" s="50" t="s">
        <v>3516</v>
      </c>
    </row>
    <row r="396" spans="1:11" ht="45" customHeight="1">
      <c r="A396" s="30">
        <v>105</v>
      </c>
      <c r="B396" s="45" t="s">
        <v>1203</v>
      </c>
      <c r="C396" s="45" t="s">
        <v>38</v>
      </c>
      <c r="D396" s="46"/>
      <c r="E396" s="47">
        <v>60000</v>
      </c>
      <c r="F396" s="48">
        <v>4</v>
      </c>
      <c r="G396" s="45" t="s">
        <v>1204</v>
      </c>
      <c r="H396" s="30" t="s">
        <v>1205</v>
      </c>
      <c r="I396" s="45" t="s">
        <v>107</v>
      </c>
      <c r="J396" s="51" t="s">
        <v>109</v>
      </c>
      <c r="K396" s="50" t="s">
        <v>3517</v>
      </c>
    </row>
    <row r="397" spans="1:11" ht="45" customHeight="1">
      <c r="A397" s="30">
        <v>105</v>
      </c>
      <c r="B397" s="45" t="s">
        <v>1198</v>
      </c>
      <c r="C397" s="45" t="s">
        <v>38</v>
      </c>
      <c r="D397" s="46"/>
      <c r="E397" s="47">
        <v>73284</v>
      </c>
      <c r="F397" s="48">
        <v>4</v>
      </c>
      <c r="G397" s="45" t="s">
        <v>292</v>
      </c>
      <c r="H397" s="30" t="s">
        <v>1199</v>
      </c>
      <c r="I397" s="45" t="s">
        <v>91</v>
      </c>
      <c r="J397" s="45" t="s">
        <v>311</v>
      </c>
      <c r="K397" s="50" t="str">
        <f>"00028960"</f>
        <v>00028960</v>
      </c>
    </row>
    <row r="398" spans="1:11" ht="45" customHeight="1">
      <c r="A398" s="30">
        <v>105</v>
      </c>
      <c r="B398" s="45" t="s">
        <v>295</v>
      </c>
      <c r="C398" s="45" t="s">
        <v>38</v>
      </c>
      <c r="D398" s="46"/>
      <c r="E398" s="47">
        <v>76605</v>
      </c>
      <c r="F398" s="48">
        <v>4</v>
      </c>
      <c r="G398" s="45" t="s">
        <v>53</v>
      </c>
      <c r="H398" s="30" t="s">
        <v>1209</v>
      </c>
      <c r="I398" s="45" t="s">
        <v>150</v>
      </c>
      <c r="J398" s="45" t="s">
        <v>1210</v>
      </c>
      <c r="K398" s="61" t="s">
        <v>3531</v>
      </c>
    </row>
    <row r="399" spans="1:11" ht="45" customHeight="1">
      <c r="A399" s="30">
        <v>105</v>
      </c>
      <c r="B399" s="45" t="s">
        <v>1211</v>
      </c>
      <c r="C399" s="45" t="s">
        <v>38</v>
      </c>
      <c r="D399" s="46"/>
      <c r="E399" s="47">
        <v>30000</v>
      </c>
      <c r="F399" s="48">
        <v>4</v>
      </c>
      <c r="G399" s="45" t="s">
        <v>1212</v>
      </c>
      <c r="H399" s="30" t="s">
        <v>1213</v>
      </c>
      <c r="I399" s="45" t="s">
        <v>107</v>
      </c>
      <c r="J399" s="45" t="s">
        <v>1214</v>
      </c>
      <c r="K399" s="61" t="s">
        <v>3532</v>
      </c>
    </row>
    <row r="400" spans="1:11" ht="45" customHeight="1">
      <c r="A400" s="30">
        <v>105</v>
      </c>
      <c r="B400" s="45" t="s">
        <v>1206</v>
      </c>
      <c r="C400" s="45" t="s">
        <v>38</v>
      </c>
      <c r="D400" s="46"/>
      <c r="E400" s="47">
        <v>8169</v>
      </c>
      <c r="F400" s="48">
        <v>4</v>
      </c>
      <c r="G400" s="45" t="s">
        <v>201</v>
      </c>
      <c r="H400" s="30" t="s">
        <v>1207</v>
      </c>
      <c r="I400" s="45" t="s">
        <v>100</v>
      </c>
      <c r="J400" s="45" t="s">
        <v>1208</v>
      </c>
      <c r="K400" s="50" t="str">
        <f>"00030535"</f>
        <v>00030535</v>
      </c>
    </row>
    <row r="401" spans="1:11" ht="45" customHeight="1">
      <c r="A401" s="30">
        <v>105</v>
      </c>
      <c r="B401" s="45" t="s">
        <v>1271</v>
      </c>
      <c r="C401" s="45" t="s">
        <v>38</v>
      </c>
      <c r="D401" s="46"/>
      <c r="E401" s="47">
        <v>60000</v>
      </c>
      <c r="F401" s="48">
        <v>4</v>
      </c>
      <c r="G401" s="45" t="s">
        <v>292</v>
      </c>
      <c r="H401" s="30" t="s">
        <v>1272</v>
      </c>
      <c r="I401" s="45" t="s">
        <v>179</v>
      </c>
      <c r="J401" s="45" t="s">
        <v>236</v>
      </c>
      <c r="K401" s="61" t="s">
        <v>3533</v>
      </c>
    </row>
    <row r="402" spans="1:11" ht="45" customHeight="1">
      <c r="A402" s="30">
        <v>105</v>
      </c>
      <c r="B402" s="45" t="s">
        <v>1198</v>
      </c>
      <c r="C402" s="45" t="s">
        <v>38</v>
      </c>
      <c r="D402" s="46"/>
      <c r="E402" s="47">
        <v>74460</v>
      </c>
      <c r="F402" s="48">
        <v>4</v>
      </c>
      <c r="G402" s="45" t="s">
        <v>1275</v>
      </c>
      <c r="H402" s="30" t="s">
        <v>1276</v>
      </c>
      <c r="I402" s="45" t="s">
        <v>92</v>
      </c>
      <c r="J402" s="45" t="s">
        <v>106</v>
      </c>
      <c r="K402" s="61" t="s">
        <v>3534</v>
      </c>
    </row>
    <row r="403" spans="1:11" ht="45" customHeight="1">
      <c r="A403" s="30">
        <v>105</v>
      </c>
      <c r="B403" s="45" t="s">
        <v>1203</v>
      </c>
      <c r="C403" s="45" t="s">
        <v>38</v>
      </c>
      <c r="D403" s="46"/>
      <c r="E403" s="47">
        <v>75000</v>
      </c>
      <c r="F403" s="48">
        <v>4</v>
      </c>
      <c r="G403" s="45" t="s">
        <v>1277</v>
      </c>
      <c r="H403" s="30" t="s">
        <v>1278</v>
      </c>
      <c r="I403" s="45" t="s">
        <v>107</v>
      </c>
      <c r="J403" s="45" t="s">
        <v>184</v>
      </c>
      <c r="K403" s="50" t="s">
        <v>3631</v>
      </c>
    </row>
    <row r="404" spans="1:11" ht="45" customHeight="1">
      <c r="A404" s="30">
        <v>105</v>
      </c>
      <c r="B404" s="45" t="s">
        <v>1198</v>
      </c>
      <c r="C404" s="45" t="s">
        <v>38</v>
      </c>
      <c r="D404" s="46"/>
      <c r="E404" s="47">
        <v>43419</v>
      </c>
      <c r="F404" s="48">
        <v>4</v>
      </c>
      <c r="G404" s="45" t="s">
        <v>1263</v>
      </c>
      <c r="H404" s="30" t="s">
        <v>1264</v>
      </c>
      <c r="I404" s="45" t="s">
        <v>92</v>
      </c>
      <c r="J404" s="45" t="s">
        <v>1265</v>
      </c>
      <c r="K404" s="61" t="s">
        <v>3535</v>
      </c>
    </row>
    <row r="405" spans="1:11" ht="45" customHeight="1">
      <c r="A405" s="30">
        <v>105</v>
      </c>
      <c r="B405" s="45" t="s">
        <v>301</v>
      </c>
      <c r="C405" s="45" t="s">
        <v>38</v>
      </c>
      <c r="D405" s="46"/>
      <c r="E405" s="47">
        <v>55000</v>
      </c>
      <c r="F405" s="48">
        <v>4</v>
      </c>
      <c r="G405" s="45" t="s">
        <v>1266</v>
      </c>
      <c r="H405" s="30" t="s">
        <v>1267</v>
      </c>
      <c r="I405" s="45" t="s">
        <v>107</v>
      </c>
      <c r="J405" s="45" t="s">
        <v>108</v>
      </c>
      <c r="K405" s="61" t="s">
        <v>3536</v>
      </c>
    </row>
    <row r="406" spans="1:11" ht="45" customHeight="1">
      <c r="A406" s="30">
        <v>105</v>
      </c>
      <c r="B406" s="76" t="s">
        <v>1226</v>
      </c>
      <c r="C406" s="45" t="s">
        <v>38</v>
      </c>
      <c r="D406" s="46"/>
      <c r="E406" s="47">
        <v>55000</v>
      </c>
      <c r="F406" s="48">
        <v>4</v>
      </c>
      <c r="G406" s="45" t="s">
        <v>1266</v>
      </c>
      <c r="H406" s="30" t="s">
        <v>1267</v>
      </c>
      <c r="I406" s="45" t="s">
        <v>107</v>
      </c>
      <c r="J406" s="45" t="s">
        <v>108</v>
      </c>
      <c r="K406" s="61" t="s">
        <v>3537</v>
      </c>
    </row>
    <row r="407" spans="1:11" ht="45" customHeight="1">
      <c r="A407" s="30">
        <v>105</v>
      </c>
      <c r="B407" s="45" t="s">
        <v>1175</v>
      </c>
      <c r="C407" s="45" t="s">
        <v>38</v>
      </c>
      <c r="D407" s="46"/>
      <c r="E407" s="47">
        <v>19884</v>
      </c>
      <c r="F407" s="48">
        <v>4</v>
      </c>
      <c r="G407" s="45" t="s">
        <v>1176</v>
      </c>
      <c r="H407" s="30" t="s">
        <v>1018</v>
      </c>
      <c r="I407" s="45" t="s">
        <v>107</v>
      </c>
      <c r="J407" s="45" t="s">
        <v>253</v>
      </c>
      <c r="K407" s="50" t="str">
        <f>"00030734"</f>
        <v>00030734</v>
      </c>
    </row>
    <row r="408" spans="1:11" ht="45" customHeight="1">
      <c r="A408" s="30">
        <v>105</v>
      </c>
      <c r="B408" s="45" t="s">
        <v>1268</v>
      </c>
      <c r="C408" s="45" t="s">
        <v>38</v>
      </c>
      <c r="D408" s="46"/>
      <c r="E408" s="47">
        <v>120000</v>
      </c>
      <c r="F408" s="48">
        <v>4</v>
      </c>
      <c r="G408" s="45" t="s">
        <v>1269</v>
      </c>
      <c r="H408" s="30" t="s">
        <v>1270</v>
      </c>
      <c r="I408" s="45" t="s">
        <v>187</v>
      </c>
      <c r="J408" s="45" t="s">
        <v>324</v>
      </c>
      <c r="K408" s="50" t="str">
        <f>"00030092"</f>
        <v>00030092</v>
      </c>
    </row>
    <row r="409" spans="1:11" ht="45" customHeight="1">
      <c r="A409" s="30">
        <v>105</v>
      </c>
      <c r="B409" s="45" t="s">
        <v>1285</v>
      </c>
      <c r="C409" s="45" t="s">
        <v>38</v>
      </c>
      <c r="D409" s="46"/>
      <c r="E409" s="47">
        <v>80000</v>
      </c>
      <c r="F409" s="48">
        <v>4</v>
      </c>
      <c r="G409" s="45" t="s">
        <v>1286</v>
      </c>
      <c r="H409" s="30" t="s">
        <v>1287</v>
      </c>
      <c r="I409" s="45" t="s">
        <v>107</v>
      </c>
      <c r="J409" s="45" t="s">
        <v>253</v>
      </c>
      <c r="K409" s="61" t="s">
        <v>3538</v>
      </c>
    </row>
    <row r="410" spans="1:11" ht="45" customHeight="1">
      <c r="A410" s="30">
        <v>105</v>
      </c>
      <c r="B410" s="76" t="s">
        <v>1165</v>
      </c>
      <c r="C410" s="45" t="s">
        <v>38</v>
      </c>
      <c r="D410" s="46"/>
      <c r="E410" s="47">
        <v>90907</v>
      </c>
      <c r="F410" s="48">
        <v>4</v>
      </c>
      <c r="G410" s="45" t="s">
        <v>1273</v>
      </c>
      <c r="H410" s="30" t="s">
        <v>1274</v>
      </c>
      <c r="I410" s="45" t="s">
        <v>107</v>
      </c>
      <c r="J410" s="45" t="s">
        <v>184</v>
      </c>
      <c r="K410" s="50" t="str">
        <f>"00029809"</f>
        <v>00029809</v>
      </c>
    </row>
    <row r="411" spans="1:11" ht="45" customHeight="1">
      <c r="A411" s="30">
        <v>105</v>
      </c>
      <c r="B411" s="45" t="s">
        <v>313</v>
      </c>
      <c r="C411" s="45" t="s">
        <v>38</v>
      </c>
      <c r="D411" s="46"/>
      <c r="E411" s="47">
        <v>67193</v>
      </c>
      <c r="F411" s="48">
        <v>4</v>
      </c>
      <c r="G411" s="45" t="s">
        <v>1257</v>
      </c>
      <c r="H411" s="30" t="s">
        <v>1258</v>
      </c>
      <c r="I411" s="45" t="s">
        <v>92</v>
      </c>
      <c r="J411" s="45" t="s">
        <v>1259</v>
      </c>
      <c r="K411" s="61" t="s">
        <v>3539</v>
      </c>
    </row>
    <row r="412" spans="1:11" ht="45" customHeight="1">
      <c r="A412" s="30">
        <v>105</v>
      </c>
      <c r="B412" s="76" t="s">
        <v>1190</v>
      </c>
      <c r="C412" s="45" t="s">
        <v>38</v>
      </c>
      <c r="D412" s="46"/>
      <c r="E412" s="47">
        <v>38692</v>
      </c>
      <c r="F412" s="48">
        <v>4</v>
      </c>
      <c r="G412" s="45" t="s">
        <v>1260</v>
      </c>
      <c r="H412" s="30" t="s">
        <v>1261</v>
      </c>
      <c r="I412" s="45" t="s">
        <v>107</v>
      </c>
      <c r="J412" s="51" t="s">
        <v>1262</v>
      </c>
      <c r="K412" s="50" t="str">
        <f>"00028698"</f>
        <v>00028698</v>
      </c>
    </row>
    <row r="413" spans="1:11" ht="45" customHeight="1">
      <c r="A413" s="30">
        <v>105</v>
      </c>
      <c r="B413" s="45" t="s">
        <v>1281</v>
      </c>
      <c r="C413" s="45" t="s">
        <v>38</v>
      </c>
      <c r="D413" s="46"/>
      <c r="E413" s="47">
        <v>56099</v>
      </c>
      <c r="F413" s="48">
        <v>4</v>
      </c>
      <c r="G413" s="45" t="s">
        <v>292</v>
      </c>
      <c r="H413" s="30" t="s">
        <v>1282</v>
      </c>
      <c r="I413" s="45" t="s">
        <v>102</v>
      </c>
      <c r="J413" s="45" t="s">
        <v>693</v>
      </c>
      <c r="K413" s="50" t="str">
        <f>"00032513"</f>
        <v>00032513</v>
      </c>
    </row>
    <row r="414" spans="1:11" ht="45" customHeight="1">
      <c r="A414" s="30">
        <v>105</v>
      </c>
      <c r="B414" s="45" t="s">
        <v>313</v>
      </c>
      <c r="C414" s="45" t="s">
        <v>38</v>
      </c>
      <c r="D414" s="46"/>
      <c r="E414" s="47">
        <v>109555</v>
      </c>
      <c r="F414" s="48">
        <v>4</v>
      </c>
      <c r="G414" s="45" t="s">
        <v>1283</v>
      </c>
      <c r="H414" s="30" t="s">
        <v>1284</v>
      </c>
      <c r="I414" s="45" t="s">
        <v>107</v>
      </c>
      <c r="J414" s="45" t="s">
        <v>280</v>
      </c>
      <c r="K414" s="61" t="s">
        <v>3540</v>
      </c>
    </row>
    <row r="415" spans="1:11" ht="45" customHeight="1">
      <c r="A415" s="30">
        <v>105</v>
      </c>
      <c r="B415" s="45" t="s">
        <v>1279</v>
      </c>
      <c r="C415" s="45" t="s">
        <v>38</v>
      </c>
      <c r="D415" s="46"/>
      <c r="E415" s="47">
        <v>63000</v>
      </c>
      <c r="F415" s="48">
        <v>4</v>
      </c>
      <c r="G415" s="45" t="s">
        <v>292</v>
      </c>
      <c r="H415" s="30" t="s">
        <v>1280</v>
      </c>
      <c r="I415" s="45" t="s">
        <v>107</v>
      </c>
      <c r="J415" s="45" t="s">
        <v>253</v>
      </c>
      <c r="K415" s="61" t="s">
        <v>3541</v>
      </c>
    </row>
    <row r="416" spans="1:11" ht="45" customHeight="1">
      <c r="A416" s="30">
        <v>105</v>
      </c>
      <c r="B416" s="45" t="s">
        <v>1236</v>
      </c>
      <c r="C416" s="45" t="s">
        <v>38</v>
      </c>
      <c r="D416" s="46"/>
      <c r="E416" s="47">
        <v>80000</v>
      </c>
      <c r="F416" s="48">
        <v>4</v>
      </c>
      <c r="G416" s="45" t="s">
        <v>1237</v>
      </c>
      <c r="H416" s="30" t="s">
        <v>1228</v>
      </c>
      <c r="I416" s="45" t="s">
        <v>96</v>
      </c>
      <c r="J416" s="45" t="s">
        <v>97</v>
      </c>
      <c r="K416" s="61" t="s">
        <v>3542</v>
      </c>
    </row>
    <row r="417" spans="1:11" ht="45" customHeight="1">
      <c r="A417" s="30">
        <v>105</v>
      </c>
      <c r="B417" s="45" t="s">
        <v>301</v>
      </c>
      <c r="C417" s="45" t="s">
        <v>38</v>
      </c>
      <c r="D417" s="46"/>
      <c r="E417" s="47">
        <v>38000</v>
      </c>
      <c r="F417" s="48">
        <v>4</v>
      </c>
      <c r="G417" s="45" t="s">
        <v>1223</v>
      </c>
      <c r="H417" s="30" t="s">
        <v>1224</v>
      </c>
      <c r="I417" s="45" t="s">
        <v>92</v>
      </c>
      <c r="J417" s="45" t="s">
        <v>355</v>
      </c>
      <c r="K417" s="61" t="s">
        <v>3543</v>
      </c>
    </row>
    <row r="418" spans="1:11" ht="45" customHeight="1">
      <c r="A418" s="30">
        <v>105</v>
      </c>
      <c r="B418" s="45" t="s">
        <v>301</v>
      </c>
      <c r="C418" s="45" t="s">
        <v>38</v>
      </c>
      <c r="D418" s="46"/>
      <c r="E418" s="47">
        <v>43000</v>
      </c>
      <c r="F418" s="48">
        <v>4</v>
      </c>
      <c r="G418" s="45" t="s">
        <v>1225</v>
      </c>
      <c r="H418" s="30" t="s">
        <v>1224</v>
      </c>
      <c r="I418" s="45" t="s">
        <v>92</v>
      </c>
      <c r="J418" s="45" t="s">
        <v>355</v>
      </c>
      <c r="K418" s="61" t="s">
        <v>3544</v>
      </c>
    </row>
    <row r="419" spans="1:11" ht="45" customHeight="1">
      <c r="A419" s="30">
        <v>105</v>
      </c>
      <c r="B419" s="76" t="s">
        <v>1226</v>
      </c>
      <c r="C419" s="45" t="s">
        <v>38</v>
      </c>
      <c r="D419" s="46"/>
      <c r="E419" s="47">
        <v>35000</v>
      </c>
      <c r="F419" s="48">
        <v>4</v>
      </c>
      <c r="G419" s="45" t="s">
        <v>1225</v>
      </c>
      <c r="H419" s="30" t="s">
        <v>1224</v>
      </c>
      <c r="I419" s="45" t="s">
        <v>92</v>
      </c>
      <c r="J419" s="45" t="s">
        <v>355</v>
      </c>
      <c r="K419" s="61" t="s">
        <v>3545</v>
      </c>
    </row>
    <row r="420" spans="1:11" ht="45" customHeight="1">
      <c r="A420" s="30">
        <v>105</v>
      </c>
      <c r="B420" s="45" t="s">
        <v>1227</v>
      </c>
      <c r="C420" s="45" t="s">
        <v>38</v>
      </c>
      <c r="D420" s="46"/>
      <c r="E420" s="47">
        <v>80000</v>
      </c>
      <c r="F420" s="48">
        <v>4</v>
      </c>
      <c r="G420" s="45" t="s">
        <v>292</v>
      </c>
      <c r="H420" s="30" t="s">
        <v>1228</v>
      </c>
      <c r="I420" s="45" t="s">
        <v>96</v>
      </c>
      <c r="J420" s="45" t="s">
        <v>97</v>
      </c>
      <c r="K420" s="61" t="s">
        <v>3546</v>
      </c>
    </row>
    <row r="421" spans="1:11" ht="45" customHeight="1">
      <c r="A421" s="30">
        <v>105</v>
      </c>
      <c r="B421" s="76" t="s">
        <v>1226</v>
      </c>
      <c r="C421" s="45" t="s">
        <v>38</v>
      </c>
      <c r="D421" s="46"/>
      <c r="E421" s="47">
        <v>23098</v>
      </c>
      <c r="F421" s="48">
        <v>4</v>
      </c>
      <c r="G421" s="45" t="s">
        <v>1223</v>
      </c>
      <c r="H421" s="30" t="s">
        <v>1256</v>
      </c>
      <c r="I421" s="45" t="s">
        <v>92</v>
      </c>
      <c r="J421" s="45" t="s">
        <v>355</v>
      </c>
      <c r="K421" s="50" t="str">
        <f>"00032666"</f>
        <v>00032666</v>
      </c>
    </row>
    <row r="422" spans="1:11" ht="45" customHeight="1">
      <c r="A422" s="30">
        <v>105</v>
      </c>
      <c r="B422" s="45" t="s">
        <v>1229</v>
      </c>
      <c r="C422" s="45" t="s">
        <v>38</v>
      </c>
      <c r="D422" s="46"/>
      <c r="E422" s="47">
        <v>98996</v>
      </c>
      <c r="F422" s="48">
        <v>4</v>
      </c>
      <c r="G422" s="45" t="s">
        <v>1230</v>
      </c>
      <c r="H422" s="30" t="s">
        <v>1231</v>
      </c>
      <c r="I422" s="51" t="s">
        <v>228</v>
      </c>
      <c r="J422" s="45" t="s">
        <v>1232</v>
      </c>
      <c r="K422" s="61" t="s">
        <v>3547</v>
      </c>
    </row>
    <row r="423" spans="1:11" ht="45" customHeight="1">
      <c r="A423" s="30">
        <v>105</v>
      </c>
      <c r="B423" s="45" t="s">
        <v>1249</v>
      </c>
      <c r="C423" s="45" t="s">
        <v>38</v>
      </c>
      <c r="D423" s="46"/>
      <c r="E423" s="47">
        <v>78482</v>
      </c>
      <c r="F423" s="48">
        <v>4</v>
      </c>
      <c r="G423" s="45" t="s">
        <v>292</v>
      </c>
      <c r="H423" s="30" t="s">
        <v>1250</v>
      </c>
      <c r="I423" s="45" t="s">
        <v>177</v>
      </c>
      <c r="J423" s="45" t="s">
        <v>232</v>
      </c>
      <c r="K423" s="61" t="s">
        <v>3645</v>
      </c>
    </row>
    <row r="424" spans="1:11" ht="45" customHeight="1">
      <c r="A424" s="30">
        <v>105</v>
      </c>
      <c r="B424" s="45" t="s">
        <v>1233</v>
      </c>
      <c r="C424" s="45" t="s">
        <v>38</v>
      </c>
      <c r="D424" s="46"/>
      <c r="E424" s="47">
        <v>20580</v>
      </c>
      <c r="F424" s="48">
        <v>4</v>
      </c>
      <c r="G424" s="45" t="s">
        <v>1234</v>
      </c>
      <c r="H424" s="30" t="s">
        <v>1235</v>
      </c>
      <c r="I424" s="45" t="s">
        <v>107</v>
      </c>
      <c r="J424" s="45" t="s">
        <v>277</v>
      </c>
      <c r="K424" s="61" t="s">
        <v>3548</v>
      </c>
    </row>
    <row r="425" spans="1:11" ht="45" customHeight="1">
      <c r="A425" s="30">
        <v>105</v>
      </c>
      <c r="B425" s="76" t="s">
        <v>1238</v>
      </c>
      <c r="C425" s="45" t="s">
        <v>38</v>
      </c>
      <c r="D425" s="46"/>
      <c r="E425" s="47">
        <v>120000</v>
      </c>
      <c r="F425" s="48">
        <v>4</v>
      </c>
      <c r="G425" s="45" t="s">
        <v>1234</v>
      </c>
      <c r="H425" s="30" t="s">
        <v>1235</v>
      </c>
      <c r="I425" s="45" t="s">
        <v>107</v>
      </c>
      <c r="J425" s="45" t="s">
        <v>277</v>
      </c>
      <c r="K425" s="61" t="s">
        <v>3549</v>
      </c>
    </row>
    <row r="426" spans="1:11" ht="45" customHeight="1">
      <c r="A426" s="30">
        <v>105</v>
      </c>
      <c r="B426" s="76" t="s">
        <v>1244</v>
      </c>
      <c r="C426" s="45" t="s">
        <v>38</v>
      </c>
      <c r="D426" s="46"/>
      <c r="E426" s="47">
        <v>145534</v>
      </c>
      <c r="F426" s="48">
        <v>4</v>
      </c>
      <c r="G426" s="45" t="s">
        <v>1245</v>
      </c>
      <c r="H426" s="30" t="s">
        <v>1246</v>
      </c>
      <c r="I426" s="45" t="s">
        <v>1247</v>
      </c>
      <c r="J426" s="45" t="s">
        <v>1248</v>
      </c>
      <c r="K426" s="61" t="s">
        <v>3550</v>
      </c>
    </row>
    <row r="427" spans="1:11" ht="45" customHeight="1">
      <c r="A427" s="30">
        <v>105</v>
      </c>
      <c r="B427" s="76" t="s">
        <v>1241</v>
      </c>
      <c r="C427" s="45" t="s">
        <v>38</v>
      </c>
      <c r="D427" s="46"/>
      <c r="E427" s="47">
        <v>35900</v>
      </c>
      <c r="F427" s="48">
        <v>4</v>
      </c>
      <c r="G427" s="45" t="s">
        <v>1242</v>
      </c>
      <c r="H427" s="30" t="s">
        <v>1243</v>
      </c>
      <c r="I427" s="45" t="s">
        <v>107</v>
      </c>
      <c r="J427" s="45" t="s">
        <v>108</v>
      </c>
      <c r="K427" s="50" t="str">
        <f>"00031738"</f>
        <v>00031738</v>
      </c>
    </row>
    <row r="428" spans="1:11" ht="45" customHeight="1">
      <c r="A428" s="30">
        <v>105</v>
      </c>
      <c r="B428" s="76" t="s">
        <v>306</v>
      </c>
      <c r="C428" s="45" t="s">
        <v>38</v>
      </c>
      <c r="D428" s="46"/>
      <c r="E428" s="47">
        <v>69436</v>
      </c>
      <c r="F428" s="48">
        <v>4</v>
      </c>
      <c r="G428" s="45" t="s">
        <v>1239</v>
      </c>
      <c r="H428" s="30" t="s">
        <v>1240</v>
      </c>
      <c r="I428" s="45" t="s">
        <v>120</v>
      </c>
      <c r="J428" s="45" t="s">
        <v>120</v>
      </c>
      <c r="K428" s="61" t="s">
        <v>3551</v>
      </c>
    </row>
    <row r="429" spans="1:11" ht="45" customHeight="1">
      <c r="A429" s="30">
        <v>105</v>
      </c>
      <c r="B429" s="45" t="s">
        <v>1288</v>
      </c>
      <c r="C429" s="45" t="s">
        <v>38</v>
      </c>
      <c r="D429" s="46"/>
      <c r="E429" s="47">
        <v>51000</v>
      </c>
      <c r="F429" s="48">
        <v>4</v>
      </c>
      <c r="G429" s="45" t="s">
        <v>292</v>
      </c>
      <c r="H429" s="30" t="s">
        <v>1289</v>
      </c>
      <c r="I429" s="45" t="s">
        <v>104</v>
      </c>
      <c r="J429" s="45" t="s">
        <v>377</v>
      </c>
      <c r="K429" s="50" t="str">
        <f>"00028012"</f>
        <v>00028012</v>
      </c>
    </row>
    <row r="430" spans="1:11" ht="45" customHeight="1">
      <c r="A430" s="30">
        <v>105</v>
      </c>
      <c r="B430" s="45" t="s">
        <v>1290</v>
      </c>
      <c r="C430" s="45" t="s">
        <v>38</v>
      </c>
      <c r="D430" s="46"/>
      <c r="E430" s="47">
        <v>60000</v>
      </c>
      <c r="F430" s="48">
        <v>4</v>
      </c>
      <c r="G430" s="45" t="s">
        <v>1291</v>
      </c>
      <c r="H430" s="30" t="s">
        <v>1292</v>
      </c>
      <c r="I430" s="45" t="s">
        <v>107</v>
      </c>
      <c r="J430" s="45" t="s">
        <v>1220</v>
      </c>
      <c r="K430" s="50" t="str">
        <f>"00029717"</f>
        <v>00029717</v>
      </c>
    </row>
    <row r="431" spans="1:11" ht="45" customHeight="1">
      <c r="A431" s="30">
        <v>105</v>
      </c>
      <c r="B431" s="45" t="s">
        <v>3574</v>
      </c>
      <c r="C431" s="45" t="s">
        <v>88</v>
      </c>
      <c r="D431" s="46"/>
      <c r="E431" s="47">
        <v>60000</v>
      </c>
      <c r="F431" s="48">
        <v>4</v>
      </c>
      <c r="G431" s="45" t="s">
        <v>3575</v>
      </c>
      <c r="H431" s="30" t="s">
        <v>3576</v>
      </c>
      <c r="I431" s="45" t="s">
        <v>3577</v>
      </c>
      <c r="J431" s="45" t="s">
        <v>3578</v>
      </c>
      <c r="K431" s="81" t="str">
        <f>"00032849"</f>
        <v>00032849</v>
      </c>
    </row>
    <row r="432" spans="1:11" ht="45" customHeight="1">
      <c r="A432" s="30">
        <v>105</v>
      </c>
      <c r="B432" s="45" t="s">
        <v>3579</v>
      </c>
      <c r="C432" s="45" t="s">
        <v>88</v>
      </c>
      <c r="D432" s="46"/>
      <c r="E432" s="47">
        <v>75378</v>
      </c>
      <c r="F432" s="48">
        <v>4</v>
      </c>
      <c r="G432" s="45" t="s">
        <v>3580</v>
      </c>
      <c r="H432" s="30" t="s">
        <v>3581</v>
      </c>
      <c r="I432" s="45" t="s">
        <v>3582</v>
      </c>
      <c r="J432" s="45" t="s">
        <v>3583</v>
      </c>
      <c r="K432" s="81" t="str">
        <f>"00031340"</f>
        <v>00031340</v>
      </c>
    </row>
    <row r="433" spans="1:11" ht="45" customHeight="1">
      <c r="A433" s="30">
        <v>105</v>
      </c>
      <c r="B433" s="45" t="s">
        <v>3584</v>
      </c>
      <c r="C433" s="45" t="s">
        <v>88</v>
      </c>
      <c r="D433" s="46"/>
      <c r="E433" s="47">
        <v>63781</v>
      </c>
      <c r="F433" s="48">
        <v>4</v>
      </c>
      <c r="G433" s="45" t="s">
        <v>3580</v>
      </c>
      <c r="H433" s="30" t="s">
        <v>3585</v>
      </c>
      <c r="I433" s="45" t="s">
        <v>3586</v>
      </c>
      <c r="J433" s="45" t="s">
        <v>544</v>
      </c>
      <c r="K433" s="81" t="str">
        <f>"00031738"</f>
        <v>00031738</v>
      </c>
    </row>
    <row r="434" spans="1:11" ht="45" customHeight="1">
      <c r="A434" s="30">
        <v>105</v>
      </c>
      <c r="B434" s="45" t="s">
        <v>3587</v>
      </c>
      <c r="C434" s="45" t="s">
        <v>88</v>
      </c>
      <c r="D434" s="46"/>
      <c r="E434" s="47">
        <v>70000</v>
      </c>
      <c r="F434" s="48">
        <v>4</v>
      </c>
      <c r="G434" s="45" t="s">
        <v>3588</v>
      </c>
      <c r="H434" s="30" t="s">
        <v>3589</v>
      </c>
      <c r="I434" s="45" t="s">
        <v>3590</v>
      </c>
      <c r="J434" s="45" t="s">
        <v>3591</v>
      </c>
      <c r="K434" s="81" t="str">
        <f>"00029519"</f>
        <v>00029519</v>
      </c>
    </row>
    <row r="435" spans="1:11" ht="45" customHeight="1">
      <c r="A435" s="30">
        <v>105</v>
      </c>
      <c r="B435" s="45" t="s">
        <v>3592</v>
      </c>
      <c r="C435" s="45" t="s">
        <v>88</v>
      </c>
      <c r="D435" s="46"/>
      <c r="E435" s="47">
        <v>30000</v>
      </c>
      <c r="F435" s="48">
        <v>4</v>
      </c>
      <c r="G435" s="45" t="s">
        <v>3593</v>
      </c>
      <c r="H435" s="30" t="s">
        <v>3594</v>
      </c>
      <c r="I435" s="45" t="s">
        <v>3586</v>
      </c>
      <c r="J435" s="45" t="s">
        <v>3595</v>
      </c>
      <c r="K435" s="81" t="str">
        <f>"00029717"</f>
        <v>00029717</v>
      </c>
    </row>
    <row r="436" spans="1:11" ht="45" customHeight="1">
      <c r="A436" s="30">
        <v>105</v>
      </c>
      <c r="B436" s="45" t="s">
        <v>3596</v>
      </c>
      <c r="C436" s="45" t="s">
        <v>88</v>
      </c>
      <c r="D436" s="46"/>
      <c r="E436" s="47">
        <v>62748</v>
      </c>
      <c r="F436" s="48">
        <v>4</v>
      </c>
      <c r="G436" s="45" t="s">
        <v>3580</v>
      </c>
      <c r="H436" s="30" t="s">
        <v>3597</v>
      </c>
      <c r="I436" s="45" t="s">
        <v>3586</v>
      </c>
      <c r="J436" s="53" t="s">
        <v>546</v>
      </c>
      <c r="K436" s="81" t="str">
        <f>"00027169"</f>
        <v>00027169</v>
      </c>
    </row>
    <row r="437" spans="1:11" ht="45" customHeight="1">
      <c r="A437" s="30">
        <v>105</v>
      </c>
      <c r="B437" s="45" t="s">
        <v>3598</v>
      </c>
      <c r="C437" s="45" t="s">
        <v>88</v>
      </c>
      <c r="D437" s="46"/>
      <c r="E437" s="47">
        <v>37335</v>
      </c>
      <c r="F437" s="48">
        <v>4</v>
      </c>
      <c r="G437" s="45" t="s">
        <v>3599</v>
      </c>
      <c r="H437" s="30" t="s">
        <v>3600</v>
      </c>
      <c r="I437" s="45" t="s">
        <v>418</v>
      </c>
      <c r="J437" s="45" t="s">
        <v>418</v>
      </c>
      <c r="K437" s="81" t="str">
        <f>"00029326"</f>
        <v>00029326</v>
      </c>
    </row>
    <row r="438" spans="1:11" ht="45" customHeight="1">
      <c r="A438" s="30">
        <v>105</v>
      </c>
      <c r="B438" s="45" t="s">
        <v>3601</v>
      </c>
      <c r="C438" s="45" t="s">
        <v>88</v>
      </c>
      <c r="D438" s="46"/>
      <c r="E438" s="47">
        <v>70000</v>
      </c>
      <c r="F438" s="48">
        <v>4</v>
      </c>
      <c r="G438" s="45" t="s">
        <v>3602</v>
      </c>
      <c r="H438" s="30" t="s">
        <v>3603</v>
      </c>
      <c r="I438" s="45" t="s">
        <v>3604</v>
      </c>
      <c r="J438" s="45" t="s">
        <v>468</v>
      </c>
      <c r="K438" s="81" t="str">
        <f>"00029112"</f>
        <v>00029112</v>
      </c>
    </row>
    <row r="439" spans="1:11" ht="45" customHeight="1">
      <c r="A439" s="30">
        <v>105</v>
      </c>
      <c r="B439" s="45" t="s">
        <v>3605</v>
      </c>
      <c r="C439" s="45" t="s">
        <v>88</v>
      </c>
      <c r="D439" s="46"/>
      <c r="E439" s="47">
        <v>40000</v>
      </c>
      <c r="F439" s="48">
        <v>4</v>
      </c>
      <c r="G439" s="45" t="s">
        <v>3580</v>
      </c>
      <c r="H439" s="30" t="s">
        <v>3606</v>
      </c>
      <c r="I439" s="45" t="s">
        <v>3607</v>
      </c>
      <c r="J439" s="45" t="s">
        <v>612</v>
      </c>
      <c r="K439" s="81" t="str">
        <f>"00028012"</f>
        <v>00028012</v>
      </c>
    </row>
    <row r="440" spans="1:11" ht="45" customHeight="1">
      <c r="A440" s="30">
        <v>105</v>
      </c>
      <c r="B440" s="45" t="s">
        <v>3608</v>
      </c>
      <c r="C440" s="45" t="s">
        <v>88</v>
      </c>
      <c r="D440" s="46"/>
      <c r="E440" s="47">
        <v>19944</v>
      </c>
      <c r="F440" s="48">
        <v>4</v>
      </c>
      <c r="G440" s="45" t="s">
        <v>3580</v>
      </c>
      <c r="H440" s="30" t="s">
        <v>3609</v>
      </c>
      <c r="I440" s="45" t="s">
        <v>3590</v>
      </c>
      <c r="J440" s="45" t="s">
        <v>416</v>
      </c>
      <c r="K440" s="81" t="str">
        <f>"00030634"</f>
        <v>00030634</v>
      </c>
    </row>
    <row r="441" spans="1:11" ht="45" customHeight="1">
      <c r="A441" s="30">
        <v>105</v>
      </c>
      <c r="B441" s="45" t="s">
        <v>3610</v>
      </c>
      <c r="C441" s="45" t="s">
        <v>88</v>
      </c>
      <c r="D441" s="46"/>
      <c r="E441" s="47">
        <v>23573</v>
      </c>
      <c r="F441" s="48">
        <v>4</v>
      </c>
      <c r="G441" s="45" t="s">
        <v>3580</v>
      </c>
      <c r="H441" s="30" t="s">
        <v>3611</v>
      </c>
      <c r="I441" s="45" t="s">
        <v>3586</v>
      </c>
      <c r="J441" s="45" t="s">
        <v>713</v>
      </c>
      <c r="K441" s="81" t="str">
        <f>"00031855"</f>
        <v>00031855</v>
      </c>
    </row>
    <row r="442" spans="1:11" ht="45" customHeight="1">
      <c r="A442" s="30">
        <v>105</v>
      </c>
      <c r="B442" s="45" t="s">
        <v>3612</v>
      </c>
      <c r="C442" s="45" t="s">
        <v>88</v>
      </c>
      <c r="D442" s="46"/>
      <c r="E442" s="47">
        <v>24560</v>
      </c>
      <c r="F442" s="48">
        <v>4</v>
      </c>
      <c r="G442" s="45" t="s">
        <v>3613</v>
      </c>
      <c r="H442" s="30" t="s">
        <v>3614</v>
      </c>
      <c r="I442" s="45" t="s">
        <v>3586</v>
      </c>
      <c r="J442" s="45" t="s">
        <v>544</v>
      </c>
      <c r="K442" s="81" t="str">
        <f>"00030707"</f>
        <v>00030707</v>
      </c>
    </row>
    <row r="443" spans="1:11" ht="45" customHeight="1">
      <c r="A443" s="30">
        <v>105</v>
      </c>
      <c r="B443" s="45" t="s">
        <v>3615</v>
      </c>
      <c r="C443" s="45" t="s">
        <v>88</v>
      </c>
      <c r="D443" s="46"/>
      <c r="E443" s="47">
        <v>16923</v>
      </c>
      <c r="F443" s="48">
        <v>4</v>
      </c>
      <c r="G443" s="45" t="s">
        <v>3580</v>
      </c>
      <c r="H443" s="30" t="s">
        <v>3616</v>
      </c>
      <c r="I443" s="45" t="s">
        <v>3586</v>
      </c>
      <c r="J443" s="45" t="s">
        <v>3595</v>
      </c>
      <c r="K443" s="81" t="str">
        <f>"00029185"</f>
        <v>00029185</v>
      </c>
    </row>
    <row r="444" spans="1:11" ht="45" customHeight="1">
      <c r="A444" s="30">
        <v>105</v>
      </c>
      <c r="B444" s="45" t="s">
        <v>3617</v>
      </c>
      <c r="C444" s="45" t="s">
        <v>88</v>
      </c>
      <c r="D444" s="46"/>
      <c r="E444" s="47">
        <v>143034</v>
      </c>
      <c r="F444" s="48">
        <v>4</v>
      </c>
      <c r="G444" s="45" t="s">
        <v>3618</v>
      </c>
      <c r="H444" s="30" t="s">
        <v>3619</v>
      </c>
      <c r="I444" s="45" t="s">
        <v>3586</v>
      </c>
      <c r="J444" s="45" t="s">
        <v>3620</v>
      </c>
      <c r="K444" s="81" t="str">
        <f>"00030643"</f>
        <v>00030643</v>
      </c>
    </row>
    <row r="445" spans="1:11" ht="45" customHeight="1">
      <c r="A445" s="30">
        <v>105</v>
      </c>
      <c r="B445" s="45" t="s">
        <v>3621</v>
      </c>
      <c r="C445" s="45" t="s">
        <v>88</v>
      </c>
      <c r="D445" s="46"/>
      <c r="E445" s="47">
        <v>37519</v>
      </c>
      <c r="F445" s="48">
        <v>4</v>
      </c>
      <c r="G445" s="45" t="s">
        <v>3622</v>
      </c>
      <c r="H445" s="30" t="s">
        <v>3623</v>
      </c>
      <c r="I445" s="45" t="s">
        <v>3586</v>
      </c>
      <c r="J445" s="45" t="s">
        <v>399</v>
      </c>
      <c r="K445" s="81" t="str">
        <f>"00029809"</f>
        <v>00029809</v>
      </c>
    </row>
    <row r="446" spans="1:11" ht="45" customHeight="1">
      <c r="A446" s="30">
        <v>104</v>
      </c>
      <c r="B446" s="51" t="s">
        <v>3559</v>
      </c>
      <c r="C446" s="45" t="s">
        <v>89</v>
      </c>
      <c r="D446" s="46"/>
      <c r="E446" s="47">
        <v>-3400</v>
      </c>
      <c r="F446" s="48">
        <v>4</v>
      </c>
      <c r="G446" s="45" t="s">
        <v>406</v>
      </c>
      <c r="H446" s="30" t="s">
        <v>3560</v>
      </c>
      <c r="I446" s="45" t="s">
        <v>3561</v>
      </c>
      <c r="J446" s="45" t="s">
        <v>3562</v>
      </c>
      <c r="K446" s="81" t="s">
        <v>3647</v>
      </c>
    </row>
    <row r="447" spans="1:11" ht="45" customHeight="1">
      <c r="A447" s="30">
        <v>104</v>
      </c>
      <c r="B447" s="45" t="s">
        <v>3552</v>
      </c>
      <c r="C447" s="45" t="s">
        <v>322</v>
      </c>
      <c r="D447" s="46"/>
      <c r="E447" s="47">
        <v>-660</v>
      </c>
      <c r="F447" s="48"/>
      <c r="G447" s="45" t="s">
        <v>3553</v>
      </c>
      <c r="H447" s="30" t="s">
        <v>3554</v>
      </c>
      <c r="I447" s="45" t="s">
        <v>3555</v>
      </c>
      <c r="J447" s="45" t="s">
        <v>3555</v>
      </c>
      <c r="K447" s="81" t="s">
        <v>3558</v>
      </c>
    </row>
    <row r="448" spans="1:11" ht="45" customHeight="1">
      <c r="A448" s="30">
        <v>104</v>
      </c>
      <c r="B448" s="45" t="s">
        <v>3552</v>
      </c>
      <c r="C448" s="45" t="s">
        <v>322</v>
      </c>
      <c r="D448" s="46"/>
      <c r="E448" s="47">
        <v>-4435</v>
      </c>
      <c r="F448" s="48"/>
      <c r="G448" s="45" t="s">
        <v>3553</v>
      </c>
      <c r="H448" s="30" t="s">
        <v>3556</v>
      </c>
      <c r="I448" s="45" t="s">
        <v>3557</v>
      </c>
      <c r="J448" s="45" t="s">
        <v>3557</v>
      </c>
      <c r="K448" s="81" t="s">
        <v>3558</v>
      </c>
    </row>
    <row r="449" spans="1:11" ht="45" customHeight="1">
      <c r="A449" s="30">
        <v>104</v>
      </c>
      <c r="B449" s="45" t="s">
        <v>3552</v>
      </c>
      <c r="C449" s="45" t="s">
        <v>322</v>
      </c>
      <c r="D449" s="46"/>
      <c r="E449" s="47">
        <v>-4435</v>
      </c>
      <c r="F449" s="48"/>
      <c r="G449" s="45" t="s">
        <v>3553</v>
      </c>
      <c r="H449" s="30" t="s">
        <v>323</v>
      </c>
      <c r="I449" s="45" t="s">
        <v>3557</v>
      </c>
      <c r="J449" s="45" t="s">
        <v>3557</v>
      </c>
      <c r="K449" s="81" t="s">
        <v>3558</v>
      </c>
    </row>
    <row r="450" spans="1:11" ht="45" customHeight="1">
      <c r="A450" s="30"/>
      <c r="B450" s="58" t="s">
        <v>198</v>
      </c>
      <c r="C450" s="45"/>
      <c r="D450" s="46"/>
      <c r="E450" s="47">
        <f>SUM(E373:E449)</f>
        <v>4390174</v>
      </c>
      <c r="F450" s="48"/>
      <c r="G450" s="45"/>
      <c r="H450" s="30"/>
      <c r="I450" s="45"/>
      <c r="J450" s="45"/>
      <c r="K450" s="50"/>
    </row>
    <row r="451" spans="1:11" ht="45" customHeight="1">
      <c r="A451" s="30"/>
      <c r="B451" s="60" t="s">
        <v>663</v>
      </c>
      <c r="C451" s="45"/>
      <c r="D451" s="46"/>
      <c r="E451" s="47"/>
      <c r="F451" s="48"/>
      <c r="G451" s="45"/>
      <c r="H451" s="30"/>
      <c r="I451" s="45"/>
      <c r="J451" s="45"/>
      <c r="K451" s="50"/>
    </row>
    <row r="452" spans="1:11" ht="45" customHeight="1">
      <c r="A452" s="30">
        <v>105</v>
      </c>
      <c r="B452" s="45" t="s">
        <v>5616</v>
      </c>
      <c r="C452" s="45" t="s">
        <v>88</v>
      </c>
      <c r="D452" s="46"/>
      <c r="E452" s="47">
        <v>59716</v>
      </c>
      <c r="F452" s="48">
        <v>4</v>
      </c>
      <c r="G452" s="45" t="s">
        <v>5617</v>
      </c>
      <c r="H452" s="30" t="s">
        <v>5444</v>
      </c>
      <c r="I452" s="45" t="s">
        <v>4277</v>
      </c>
      <c r="J452" s="45" t="s">
        <v>540</v>
      </c>
      <c r="K452" s="81" t="str">
        <f>"00027120"</f>
        <v>00027120</v>
      </c>
    </row>
    <row r="453" spans="1:11" ht="45" customHeight="1">
      <c r="A453" s="30">
        <v>105</v>
      </c>
      <c r="B453" s="45" t="s">
        <v>5618</v>
      </c>
      <c r="C453" s="45" t="s">
        <v>88</v>
      </c>
      <c r="D453" s="46"/>
      <c r="E453" s="47">
        <v>50000</v>
      </c>
      <c r="F453" s="48">
        <v>4</v>
      </c>
      <c r="G453" s="45" t="s">
        <v>5619</v>
      </c>
      <c r="H453" s="30" t="s">
        <v>5620</v>
      </c>
      <c r="I453" s="45" t="s">
        <v>4218</v>
      </c>
      <c r="J453" s="45" t="s">
        <v>523</v>
      </c>
      <c r="K453" s="81" t="str">
        <f>"00029194"</f>
        <v>00029194</v>
      </c>
    </row>
    <row r="454" spans="1:11" ht="45" customHeight="1">
      <c r="A454" s="30">
        <v>105</v>
      </c>
      <c r="B454" s="45" t="s">
        <v>5621</v>
      </c>
      <c r="C454" s="45" t="s">
        <v>88</v>
      </c>
      <c r="D454" s="46"/>
      <c r="E454" s="47">
        <v>59715</v>
      </c>
      <c r="F454" s="48">
        <v>4</v>
      </c>
      <c r="G454" s="49" t="s">
        <v>5622</v>
      </c>
      <c r="H454" s="30" t="s">
        <v>5623</v>
      </c>
      <c r="I454" s="45" t="s">
        <v>3577</v>
      </c>
      <c r="J454" s="45" t="s">
        <v>4228</v>
      </c>
      <c r="K454" s="81" t="str">
        <f>"00027861"</f>
        <v>00027861</v>
      </c>
    </row>
    <row r="455" spans="1:11" ht="45" customHeight="1">
      <c r="A455" s="30">
        <v>105</v>
      </c>
      <c r="B455" s="49" t="s">
        <v>5624</v>
      </c>
      <c r="C455" s="45" t="s">
        <v>88</v>
      </c>
      <c r="D455" s="46"/>
      <c r="E455" s="47">
        <v>79096</v>
      </c>
      <c r="F455" s="48">
        <v>4</v>
      </c>
      <c r="G455" s="45" t="s">
        <v>5625</v>
      </c>
      <c r="H455" s="30" t="s">
        <v>5626</v>
      </c>
      <c r="I455" s="45" t="s">
        <v>3586</v>
      </c>
      <c r="J455" s="45" t="s">
        <v>604</v>
      </c>
      <c r="K455" s="81" t="str">
        <f>"00028141"</f>
        <v>00028141</v>
      </c>
    </row>
    <row r="456" spans="1:11" ht="45" customHeight="1">
      <c r="A456" s="30">
        <v>105</v>
      </c>
      <c r="B456" s="45" t="s">
        <v>5627</v>
      </c>
      <c r="C456" s="45" t="s">
        <v>88</v>
      </c>
      <c r="D456" s="46"/>
      <c r="E456" s="47">
        <v>33717</v>
      </c>
      <c r="F456" s="48">
        <v>4</v>
      </c>
      <c r="G456" s="51" t="s">
        <v>5628</v>
      </c>
      <c r="H456" s="30" t="s">
        <v>5629</v>
      </c>
      <c r="I456" s="45" t="s">
        <v>5630</v>
      </c>
      <c r="J456" s="45" t="s">
        <v>5631</v>
      </c>
      <c r="K456" s="81" t="str">
        <f>"00028081"</f>
        <v>00028081</v>
      </c>
    </row>
    <row r="457" spans="1:11" ht="45" customHeight="1">
      <c r="A457" s="30">
        <v>105</v>
      </c>
      <c r="B457" s="45" t="s">
        <v>5616</v>
      </c>
      <c r="C457" s="45" t="s">
        <v>88</v>
      </c>
      <c r="D457" s="46"/>
      <c r="E457" s="47">
        <v>121543</v>
      </c>
      <c r="F457" s="48">
        <v>4</v>
      </c>
      <c r="G457" s="45" t="s">
        <v>5632</v>
      </c>
      <c r="H457" s="30" t="s">
        <v>5633</v>
      </c>
      <c r="I457" s="45" t="s">
        <v>3586</v>
      </c>
      <c r="J457" s="51" t="s">
        <v>522</v>
      </c>
      <c r="K457" s="81" t="str">
        <f>"00027863"</f>
        <v>00027863</v>
      </c>
    </row>
    <row r="458" spans="1:11" ht="45" customHeight="1">
      <c r="A458" s="30">
        <v>105</v>
      </c>
      <c r="B458" s="45" t="s">
        <v>5634</v>
      </c>
      <c r="C458" s="45" t="s">
        <v>88</v>
      </c>
      <c r="D458" s="46"/>
      <c r="E458" s="47">
        <v>15648</v>
      </c>
      <c r="F458" s="48">
        <v>4</v>
      </c>
      <c r="G458" s="45" t="s">
        <v>5634</v>
      </c>
      <c r="H458" s="30" t="s">
        <v>5635</v>
      </c>
      <c r="I458" s="45" t="s">
        <v>3577</v>
      </c>
      <c r="J458" s="45" t="s">
        <v>401</v>
      </c>
      <c r="K458" s="81" t="str">
        <f>"00026950"</f>
        <v>00026950</v>
      </c>
    </row>
    <row r="459" spans="1:11" ht="45" customHeight="1">
      <c r="A459" s="30">
        <v>105</v>
      </c>
      <c r="B459" s="45" t="s">
        <v>5636</v>
      </c>
      <c r="C459" s="45" t="s">
        <v>88</v>
      </c>
      <c r="D459" s="46"/>
      <c r="E459" s="47">
        <v>122553</v>
      </c>
      <c r="F459" s="48">
        <v>4</v>
      </c>
      <c r="G459" s="45" t="s">
        <v>5637</v>
      </c>
      <c r="H459" s="30" t="s">
        <v>5638</v>
      </c>
      <c r="I459" s="45" t="s">
        <v>3586</v>
      </c>
      <c r="J459" s="51" t="s">
        <v>522</v>
      </c>
      <c r="K459" s="81" t="str">
        <f>"00028123"</f>
        <v>00028123</v>
      </c>
    </row>
    <row r="460" spans="1:11" ht="45" customHeight="1">
      <c r="A460" s="30">
        <v>105</v>
      </c>
      <c r="B460" s="49" t="s">
        <v>5639</v>
      </c>
      <c r="C460" s="45" t="s">
        <v>88</v>
      </c>
      <c r="D460" s="46"/>
      <c r="E460" s="47">
        <v>104741</v>
      </c>
      <c r="F460" s="48">
        <v>4</v>
      </c>
      <c r="G460" s="45" t="s">
        <v>5640</v>
      </c>
      <c r="H460" s="30" t="s">
        <v>5641</v>
      </c>
      <c r="I460" s="45" t="s">
        <v>418</v>
      </c>
      <c r="J460" s="45" t="s">
        <v>418</v>
      </c>
      <c r="K460" s="81" t="str">
        <f>"00028488"</f>
        <v>00028488</v>
      </c>
    </row>
    <row r="461" spans="1:11" ht="45" customHeight="1">
      <c r="A461" s="30">
        <v>105</v>
      </c>
      <c r="B461" s="45" t="s">
        <v>5642</v>
      </c>
      <c r="C461" s="45" t="s">
        <v>88</v>
      </c>
      <c r="D461" s="46"/>
      <c r="E461" s="47">
        <v>28156</v>
      </c>
      <c r="F461" s="48">
        <v>4</v>
      </c>
      <c r="G461" s="45" t="s">
        <v>5643</v>
      </c>
      <c r="H461" s="30" t="s">
        <v>5644</v>
      </c>
      <c r="I461" s="45" t="s">
        <v>3577</v>
      </c>
      <c r="J461" s="45" t="s">
        <v>4228</v>
      </c>
      <c r="K461" s="81" t="str">
        <f>"00027654"</f>
        <v>00027654</v>
      </c>
    </row>
    <row r="462" spans="1:11" ht="45" customHeight="1">
      <c r="A462" s="30">
        <v>105</v>
      </c>
      <c r="B462" s="45" t="s">
        <v>5645</v>
      </c>
      <c r="C462" s="45" t="s">
        <v>88</v>
      </c>
      <c r="D462" s="46"/>
      <c r="E462" s="47">
        <v>119203</v>
      </c>
      <c r="F462" s="48">
        <v>4</v>
      </c>
      <c r="G462" s="45" t="s">
        <v>5646</v>
      </c>
      <c r="H462" s="30" t="s">
        <v>5647</v>
      </c>
      <c r="I462" s="45" t="s">
        <v>5648</v>
      </c>
      <c r="J462" s="45" t="s">
        <v>454</v>
      </c>
      <c r="K462" s="81" t="str">
        <f>"00028155"</f>
        <v>00028155</v>
      </c>
    </row>
    <row r="463" spans="1:11" ht="45" customHeight="1">
      <c r="A463" s="30">
        <v>105</v>
      </c>
      <c r="B463" s="45" t="s">
        <v>5621</v>
      </c>
      <c r="C463" s="45" t="s">
        <v>88</v>
      </c>
      <c r="D463" s="46"/>
      <c r="E463" s="47">
        <v>80000</v>
      </c>
      <c r="F463" s="48">
        <v>4</v>
      </c>
      <c r="G463" s="45" t="s">
        <v>5649</v>
      </c>
      <c r="H463" s="30" t="s">
        <v>5650</v>
      </c>
      <c r="I463" s="45" t="s">
        <v>3586</v>
      </c>
      <c r="J463" s="45" t="s">
        <v>4630</v>
      </c>
      <c r="K463" s="81" t="str">
        <f>"00028298"</f>
        <v>00028298</v>
      </c>
    </row>
    <row r="464" spans="1:11" ht="45" customHeight="1">
      <c r="A464" s="30">
        <v>105</v>
      </c>
      <c r="B464" s="45" t="s">
        <v>5651</v>
      </c>
      <c r="C464" s="45" t="s">
        <v>88</v>
      </c>
      <c r="D464" s="46"/>
      <c r="E464" s="47">
        <v>35639</v>
      </c>
      <c r="F464" s="48">
        <v>4</v>
      </c>
      <c r="G464" s="45" t="s">
        <v>5652</v>
      </c>
      <c r="H464" s="30" t="s">
        <v>5653</v>
      </c>
      <c r="I464" s="45" t="s">
        <v>3577</v>
      </c>
      <c r="J464" s="45" t="s">
        <v>4228</v>
      </c>
      <c r="K464" s="81" t="str">
        <f>"00028217"</f>
        <v>00028217</v>
      </c>
    </row>
    <row r="465" spans="1:11" ht="45" customHeight="1">
      <c r="A465" s="30">
        <v>105</v>
      </c>
      <c r="B465" s="45" t="s">
        <v>5654</v>
      </c>
      <c r="C465" s="45" t="s">
        <v>88</v>
      </c>
      <c r="D465" s="46"/>
      <c r="E465" s="47">
        <v>74579</v>
      </c>
      <c r="F465" s="48">
        <v>4</v>
      </c>
      <c r="G465" s="45" t="s">
        <v>5655</v>
      </c>
      <c r="H465" s="30" t="s">
        <v>5656</v>
      </c>
      <c r="I465" s="45" t="s">
        <v>3586</v>
      </c>
      <c r="J465" s="51" t="s">
        <v>522</v>
      </c>
      <c r="K465" s="81" t="str">
        <f>"00027932"</f>
        <v>00027932</v>
      </c>
    </row>
    <row r="466" spans="1:11" ht="45" customHeight="1">
      <c r="A466" s="30">
        <v>105</v>
      </c>
      <c r="B466" s="49" t="s">
        <v>5657</v>
      </c>
      <c r="C466" s="45" t="s">
        <v>88</v>
      </c>
      <c r="D466" s="46"/>
      <c r="E466" s="47">
        <v>101283</v>
      </c>
      <c r="F466" s="48">
        <v>4</v>
      </c>
      <c r="G466" s="45" t="s">
        <v>5658</v>
      </c>
      <c r="H466" s="30" t="s">
        <v>5659</v>
      </c>
      <c r="I466" s="45" t="s">
        <v>4218</v>
      </c>
      <c r="J466" s="45" t="s">
        <v>5660</v>
      </c>
      <c r="K466" s="81" t="str">
        <f>"00028751"</f>
        <v>00028751</v>
      </c>
    </row>
    <row r="467" spans="1:11" ht="45" customHeight="1">
      <c r="A467" s="30">
        <v>105</v>
      </c>
      <c r="B467" s="45" t="s">
        <v>5661</v>
      </c>
      <c r="C467" s="45" t="s">
        <v>88</v>
      </c>
      <c r="D467" s="46"/>
      <c r="E467" s="47">
        <v>132398</v>
      </c>
      <c r="F467" s="48">
        <v>4</v>
      </c>
      <c r="G467" s="45" t="s">
        <v>5649</v>
      </c>
      <c r="H467" s="30" t="s">
        <v>5662</v>
      </c>
      <c r="I467" s="45" t="s">
        <v>3586</v>
      </c>
      <c r="J467" s="45" t="s">
        <v>4630</v>
      </c>
      <c r="K467" s="81" t="str">
        <f>"00028291"</f>
        <v>00028291</v>
      </c>
    </row>
    <row r="468" spans="1:11" ht="45" customHeight="1">
      <c r="A468" s="30">
        <v>105</v>
      </c>
      <c r="B468" s="45" t="s">
        <v>5663</v>
      </c>
      <c r="C468" s="45" t="s">
        <v>88</v>
      </c>
      <c r="D468" s="46"/>
      <c r="E468" s="47">
        <v>118014</v>
      </c>
      <c r="F468" s="48">
        <v>4</v>
      </c>
      <c r="G468" s="45" t="s">
        <v>5664</v>
      </c>
      <c r="H468" s="30" t="s">
        <v>5164</v>
      </c>
      <c r="I468" s="45" t="s">
        <v>3586</v>
      </c>
      <c r="J468" s="45" t="s">
        <v>4630</v>
      </c>
      <c r="K468" s="81" t="str">
        <f>"00027567"</f>
        <v>00027567</v>
      </c>
    </row>
    <row r="469" spans="1:11" ht="45" customHeight="1">
      <c r="A469" s="30">
        <v>105</v>
      </c>
      <c r="B469" s="49" t="s">
        <v>5624</v>
      </c>
      <c r="C469" s="45" t="s">
        <v>88</v>
      </c>
      <c r="D469" s="46"/>
      <c r="E469" s="47">
        <v>20904</v>
      </c>
      <c r="F469" s="48">
        <v>4</v>
      </c>
      <c r="G469" s="45" t="s">
        <v>5643</v>
      </c>
      <c r="H469" s="30" t="s">
        <v>5665</v>
      </c>
      <c r="I469" s="45" t="s">
        <v>3577</v>
      </c>
      <c r="J469" s="45" t="s">
        <v>4228</v>
      </c>
      <c r="K469" s="81" t="str">
        <f>"00027662"</f>
        <v>00027662</v>
      </c>
    </row>
    <row r="470" spans="1:11" ht="45" customHeight="1">
      <c r="A470" s="30">
        <v>105</v>
      </c>
      <c r="B470" s="45" t="s">
        <v>5666</v>
      </c>
      <c r="C470" s="45" t="s">
        <v>88</v>
      </c>
      <c r="D470" s="46"/>
      <c r="E470" s="47">
        <v>90478</v>
      </c>
      <c r="F470" s="48">
        <v>4</v>
      </c>
      <c r="G470" s="45" t="s">
        <v>5667</v>
      </c>
      <c r="H470" s="30" t="s">
        <v>5668</v>
      </c>
      <c r="I470" s="45" t="s">
        <v>5669</v>
      </c>
      <c r="J470" s="45" t="s">
        <v>4941</v>
      </c>
      <c r="K470" s="81" t="str">
        <f>"00029012"</f>
        <v>00029012</v>
      </c>
    </row>
    <row r="471" spans="1:11" ht="45" customHeight="1">
      <c r="A471" s="30">
        <v>105</v>
      </c>
      <c r="B471" s="49" t="s">
        <v>5670</v>
      </c>
      <c r="C471" s="45" t="s">
        <v>88</v>
      </c>
      <c r="D471" s="46"/>
      <c r="E471" s="47">
        <v>116826</v>
      </c>
      <c r="F471" s="48">
        <v>4</v>
      </c>
      <c r="G471" s="45" t="s">
        <v>5671</v>
      </c>
      <c r="H471" s="30" t="s">
        <v>5672</v>
      </c>
      <c r="I471" s="45" t="s">
        <v>5673</v>
      </c>
      <c r="J471" s="45" t="s">
        <v>5246</v>
      </c>
      <c r="K471" s="81" t="str">
        <f>"00028758"</f>
        <v>00028758</v>
      </c>
    </row>
    <row r="472" spans="1:11" ht="45" customHeight="1">
      <c r="A472" s="30">
        <v>105</v>
      </c>
      <c r="B472" s="49" t="s">
        <v>5670</v>
      </c>
      <c r="C472" s="45" t="s">
        <v>88</v>
      </c>
      <c r="D472" s="46"/>
      <c r="E472" s="47">
        <v>116533</v>
      </c>
      <c r="F472" s="48">
        <v>4</v>
      </c>
      <c r="G472" s="45" t="s">
        <v>5671</v>
      </c>
      <c r="H472" s="30" t="s">
        <v>5674</v>
      </c>
      <c r="I472" s="45" t="s">
        <v>5673</v>
      </c>
      <c r="J472" s="45" t="s">
        <v>5246</v>
      </c>
      <c r="K472" s="81" t="str">
        <f>"00028771"</f>
        <v>00028771</v>
      </c>
    </row>
    <row r="473" spans="1:11" ht="45" customHeight="1">
      <c r="A473" s="30">
        <v>105</v>
      </c>
      <c r="B473" s="45" t="s">
        <v>5675</v>
      </c>
      <c r="C473" s="45" t="s">
        <v>88</v>
      </c>
      <c r="D473" s="46"/>
      <c r="E473" s="47">
        <v>117952</v>
      </c>
      <c r="F473" s="48">
        <v>4</v>
      </c>
      <c r="G473" s="45" t="s">
        <v>5676</v>
      </c>
      <c r="H473" s="30" t="s">
        <v>5662</v>
      </c>
      <c r="I473" s="45" t="s">
        <v>3586</v>
      </c>
      <c r="J473" s="45" t="s">
        <v>4630</v>
      </c>
      <c r="K473" s="81" t="str">
        <f>"00028042"</f>
        <v>00028042</v>
      </c>
    </row>
    <row r="474" spans="1:11" ht="45" customHeight="1">
      <c r="A474" s="30">
        <v>105</v>
      </c>
      <c r="B474" s="49" t="s">
        <v>5670</v>
      </c>
      <c r="C474" s="45" t="s">
        <v>88</v>
      </c>
      <c r="D474" s="46"/>
      <c r="E474" s="47">
        <v>100107</v>
      </c>
      <c r="F474" s="48">
        <v>4</v>
      </c>
      <c r="G474" s="51" t="s">
        <v>5677</v>
      </c>
      <c r="H474" s="30" t="s">
        <v>5678</v>
      </c>
      <c r="I474" s="45" t="s">
        <v>418</v>
      </c>
      <c r="J474" s="45" t="s">
        <v>418</v>
      </c>
      <c r="K474" s="81" t="str">
        <f>"00028984"</f>
        <v>00028984</v>
      </c>
    </row>
    <row r="475" spans="1:11" ht="45" customHeight="1">
      <c r="A475" s="30">
        <v>105</v>
      </c>
      <c r="B475" s="45" t="s">
        <v>5679</v>
      </c>
      <c r="C475" s="45" t="s">
        <v>88</v>
      </c>
      <c r="D475" s="46"/>
      <c r="E475" s="47">
        <v>109961</v>
      </c>
      <c r="F475" s="48">
        <v>4</v>
      </c>
      <c r="G475" s="45" t="s">
        <v>5680</v>
      </c>
      <c r="H475" s="30" t="s">
        <v>5681</v>
      </c>
      <c r="I475" s="45" t="s">
        <v>5682</v>
      </c>
      <c r="J475" s="45" t="s">
        <v>541</v>
      </c>
      <c r="K475" s="81" t="str">
        <f>"00029492"</f>
        <v>00029492</v>
      </c>
    </row>
    <row r="476" spans="1:11" ht="45" customHeight="1">
      <c r="A476" s="30">
        <v>105</v>
      </c>
      <c r="B476" s="49" t="s">
        <v>5670</v>
      </c>
      <c r="C476" s="45" t="s">
        <v>88</v>
      </c>
      <c r="D476" s="46"/>
      <c r="E476" s="47">
        <v>133082</v>
      </c>
      <c r="F476" s="48">
        <v>4</v>
      </c>
      <c r="G476" s="45" t="s">
        <v>5671</v>
      </c>
      <c r="H476" s="30" t="s">
        <v>5674</v>
      </c>
      <c r="I476" s="45" t="s">
        <v>5673</v>
      </c>
      <c r="J476" s="45" t="s">
        <v>5246</v>
      </c>
      <c r="K476" s="81" t="str">
        <f>"00028767"</f>
        <v>00028767</v>
      </c>
    </row>
    <row r="477" spans="1:11" ht="45" customHeight="1">
      <c r="A477" s="30">
        <v>105</v>
      </c>
      <c r="B477" s="45" t="s">
        <v>5683</v>
      </c>
      <c r="C477" s="45" t="s">
        <v>88</v>
      </c>
      <c r="D477" s="46"/>
      <c r="E477" s="47">
        <v>104019</v>
      </c>
      <c r="F477" s="48">
        <v>4</v>
      </c>
      <c r="G477" s="45" t="s">
        <v>5684</v>
      </c>
      <c r="H477" s="30" t="s">
        <v>5685</v>
      </c>
      <c r="I477" s="45" t="s">
        <v>3586</v>
      </c>
      <c r="J477" s="53" t="s">
        <v>5686</v>
      </c>
      <c r="K477" s="81" t="str">
        <f>"00029740"</f>
        <v>00029740</v>
      </c>
    </row>
    <row r="478" spans="1:11" ht="45" customHeight="1">
      <c r="A478" s="30">
        <v>105</v>
      </c>
      <c r="B478" s="45" t="s">
        <v>5687</v>
      </c>
      <c r="C478" s="45" t="s">
        <v>88</v>
      </c>
      <c r="D478" s="46"/>
      <c r="E478" s="47">
        <v>86548</v>
      </c>
      <c r="F478" s="48">
        <v>4</v>
      </c>
      <c r="G478" s="49" t="s">
        <v>5688</v>
      </c>
      <c r="H478" s="30" t="s">
        <v>4705</v>
      </c>
      <c r="I478" s="45" t="s">
        <v>3586</v>
      </c>
      <c r="J478" s="49" t="s">
        <v>5689</v>
      </c>
      <c r="K478" s="81" t="str">
        <f>"00029871"</f>
        <v>00029871</v>
      </c>
    </row>
    <row r="479" spans="1:11" ht="45" customHeight="1">
      <c r="A479" s="30">
        <v>105</v>
      </c>
      <c r="B479" s="45" t="s">
        <v>5690</v>
      </c>
      <c r="C479" s="45" t="s">
        <v>88</v>
      </c>
      <c r="D479" s="46"/>
      <c r="E479" s="47">
        <v>97249</v>
      </c>
      <c r="F479" s="48">
        <v>4</v>
      </c>
      <c r="G479" s="45" t="s">
        <v>5691</v>
      </c>
      <c r="H479" s="30" t="s">
        <v>5692</v>
      </c>
      <c r="I479" s="45" t="s">
        <v>5693</v>
      </c>
      <c r="J479" s="45" t="s">
        <v>417</v>
      </c>
      <c r="K479" s="81" t="str">
        <f>"00029488"</f>
        <v>00029488</v>
      </c>
    </row>
    <row r="480" spans="1:11" ht="45" customHeight="1">
      <c r="A480" s="30">
        <v>105</v>
      </c>
      <c r="B480" s="45" t="s">
        <v>5634</v>
      </c>
      <c r="C480" s="45" t="s">
        <v>88</v>
      </c>
      <c r="D480" s="46"/>
      <c r="E480" s="47">
        <v>90553</v>
      </c>
      <c r="F480" s="48">
        <v>4</v>
      </c>
      <c r="G480" s="45" t="s">
        <v>5694</v>
      </c>
      <c r="H480" s="30" t="s">
        <v>5695</v>
      </c>
      <c r="I480" s="45" t="s">
        <v>5673</v>
      </c>
      <c r="J480" s="45" t="s">
        <v>5246</v>
      </c>
      <c r="K480" s="81" t="str">
        <f>"00028495"</f>
        <v>00028495</v>
      </c>
    </row>
    <row r="481" spans="1:11" ht="45" customHeight="1">
      <c r="A481" s="30">
        <v>105</v>
      </c>
      <c r="B481" s="45" t="s">
        <v>5634</v>
      </c>
      <c r="C481" s="45" t="s">
        <v>88</v>
      </c>
      <c r="D481" s="46"/>
      <c r="E481" s="47">
        <v>52165</v>
      </c>
      <c r="F481" s="48">
        <v>4</v>
      </c>
      <c r="G481" s="49" t="s">
        <v>5696</v>
      </c>
      <c r="H481" s="30" t="s">
        <v>5697</v>
      </c>
      <c r="I481" s="51" t="s">
        <v>5698</v>
      </c>
      <c r="J481" s="49" t="s">
        <v>5699</v>
      </c>
      <c r="K481" s="81" t="str">
        <f>"00028807"</f>
        <v>00028807</v>
      </c>
    </row>
    <row r="482" spans="1:11" ht="45" customHeight="1">
      <c r="A482" s="30">
        <v>105</v>
      </c>
      <c r="B482" s="45" t="s">
        <v>5700</v>
      </c>
      <c r="C482" s="45" t="s">
        <v>88</v>
      </c>
      <c r="D482" s="46"/>
      <c r="E482" s="47">
        <v>127100</v>
      </c>
      <c r="F482" s="48">
        <v>4</v>
      </c>
      <c r="G482" s="45" t="s">
        <v>5701</v>
      </c>
      <c r="H482" s="30" t="s">
        <v>5702</v>
      </c>
      <c r="I482" s="45" t="s">
        <v>3586</v>
      </c>
      <c r="J482" s="45" t="s">
        <v>5703</v>
      </c>
      <c r="K482" s="81" t="str">
        <f>"00029033"</f>
        <v>00029033</v>
      </c>
    </row>
    <row r="483" spans="1:11" ht="45" customHeight="1">
      <c r="A483" s="30">
        <v>105</v>
      </c>
      <c r="B483" s="45" t="s">
        <v>5704</v>
      </c>
      <c r="C483" s="45" t="s">
        <v>88</v>
      </c>
      <c r="D483" s="46"/>
      <c r="E483" s="47">
        <v>103775</v>
      </c>
      <c r="F483" s="48">
        <v>4</v>
      </c>
      <c r="G483" s="45" t="s">
        <v>5705</v>
      </c>
      <c r="H483" s="30" t="s">
        <v>5706</v>
      </c>
      <c r="I483" s="45" t="s">
        <v>5682</v>
      </c>
      <c r="J483" s="45" t="s">
        <v>541</v>
      </c>
      <c r="K483" s="81" t="str">
        <f>"00029584"</f>
        <v>00029584</v>
      </c>
    </row>
    <row r="484" spans="1:11" ht="45" customHeight="1">
      <c r="A484" s="30">
        <v>105</v>
      </c>
      <c r="B484" s="51" t="s">
        <v>5707</v>
      </c>
      <c r="C484" s="45" t="s">
        <v>88</v>
      </c>
      <c r="D484" s="46"/>
      <c r="E484" s="47">
        <v>183753</v>
      </c>
      <c r="F484" s="48">
        <v>4</v>
      </c>
      <c r="G484" s="49" t="s">
        <v>5708</v>
      </c>
      <c r="H484" s="30" t="s">
        <v>5709</v>
      </c>
      <c r="I484" s="45" t="s">
        <v>5673</v>
      </c>
      <c r="J484" s="45" t="s">
        <v>4048</v>
      </c>
      <c r="K484" s="81" t="str">
        <f>"00029679"</f>
        <v>00029679</v>
      </c>
    </row>
    <row r="485" spans="1:11" ht="45" customHeight="1">
      <c r="A485" s="30">
        <v>105</v>
      </c>
      <c r="B485" s="45" t="s">
        <v>5710</v>
      </c>
      <c r="C485" s="45" t="s">
        <v>88</v>
      </c>
      <c r="D485" s="46"/>
      <c r="E485" s="47">
        <v>80963</v>
      </c>
      <c r="F485" s="48">
        <v>4</v>
      </c>
      <c r="G485" s="45" t="s">
        <v>5711</v>
      </c>
      <c r="H485" s="30" t="s">
        <v>5712</v>
      </c>
      <c r="I485" s="45" t="s">
        <v>3586</v>
      </c>
      <c r="J485" s="45" t="s">
        <v>5713</v>
      </c>
      <c r="K485" s="81" t="str">
        <f>"00031033"</f>
        <v>00031033</v>
      </c>
    </row>
    <row r="486" spans="1:11" ht="45" customHeight="1">
      <c r="A486" s="30">
        <v>105</v>
      </c>
      <c r="B486" s="45" t="s">
        <v>5714</v>
      </c>
      <c r="C486" s="45" t="s">
        <v>88</v>
      </c>
      <c r="D486" s="46"/>
      <c r="E486" s="47">
        <v>67676</v>
      </c>
      <c r="F486" s="48">
        <v>4</v>
      </c>
      <c r="G486" s="45" t="s">
        <v>5715</v>
      </c>
      <c r="H486" s="30" t="s">
        <v>5716</v>
      </c>
      <c r="I486" s="45" t="s">
        <v>3577</v>
      </c>
      <c r="J486" s="45" t="s">
        <v>401</v>
      </c>
      <c r="K486" s="81" t="str">
        <f>"00029998"</f>
        <v>00029998</v>
      </c>
    </row>
    <row r="487" spans="1:11" ht="45" customHeight="1">
      <c r="A487" s="30">
        <v>105</v>
      </c>
      <c r="B487" s="76" t="s">
        <v>5717</v>
      </c>
      <c r="C487" s="45" t="s">
        <v>88</v>
      </c>
      <c r="D487" s="46"/>
      <c r="E487" s="47">
        <v>98354</v>
      </c>
      <c r="F487" s="48">
        <v>4</v>
      </c>
      <c r="G487" s="45" t="s">
        <v>5718</v>
      </c>
      <c r="H487" s="30" t="s">
        <v>5719</v>
      </c>
      <c r="I487" s="45" t="s">
        <v>605</v>
      </c>
      <c r="J487" s="45" t="s">
        <v>443</v>
      </c>
      <c r="K487" s="81" t="str">
        <f>"00030270"</f>
        <v>00030270</v>
      </c>
    </row>
    <row r="488" spans="1:11" ht="45" customHeight="1">
      <c r="A488" s="30">
        <v>105</v>
      </c>
      <c r="B488" s="45" t="s">
        <v>5720</v>
      </c>
      <c r="C488" s="45" t="s">
        <v>88</v>
      </c>
      <c r="D488" s="46"/>
      <c r="E488" s="47">
        <v>88818</v>
      </c>
      <c r="F488" s="48">
        <v>4</v>
      </c>
      <c r="G488" s="45" t="s">
        <v>5721</v>
      </c>
      <c r="H488" s="30" t="s">
        <v>5722</v>
      </c>
      <c r="I488" s="45" t="s">
        <v>3586</v>
      </c>
      <c r="J488" s="45" t="s">
        <v>573</v>
      </c>
      <c r="K488" s="81" t="str">
        <f>"00029428"</f>
        <v>00029428</v>
      </c>
    </row>
    <row r="489" spans="1:11" ht="45" customHeight="1">
      <c r="A489" s="30">
        <v>105</v>
      </c>
      <c r="B489" s="49" t="s">
        <v>5850</v>
      </c>
      <c r="C489" s="45" t="s">
        <v>88</v>
      </c>
      <c r="D489" s="46"/>
      <c r="E489" s="47">
        <v>94109</v>
      </c>
      <c r="F489" s="48">
        <v>4</v>
      </c>
      <c r="G489" s="45" t="s">
        <v>5718</v>
      </c>
      <c r="H489" s="30" t="s">
        <v>5723</v>
      </c>
      <c r="I489" s="45" t="s">
        <v>605</v>
      </c>
      <c r="J489" s="45" t="s">
        <v>443</v>
      </c>
      <c r="K489" s="81" t="str">
        <f>"00030479"</f>
        <v>00030479</v>
      </c>
    </row>
    <row r="490" spans="1:11" ht="45" customHeight="1">
      <c r="A490" s="30">
        <v>105</v>
      </c>
      <c r="B490" s="45" t="s">
        <v>5724</v>
      </c>
      <c r="C490" s="45" t="s">
        <v>88</v>
      </c>
      <c r="D490" s="46"/>
      <c r="E490" s="47">
        <v>86961</v>
      </c>
      <c r="F490" s="48">
        <v>4</v>
      </c>
      <c r="G490" s="45" t="s">
        <v>5725</v>
      </c>
      <c r="H490" s="30" t="s">
        <v>5726</v>
      </c>
      <c r="I490" s="45" t="s">
        <v>3577</v>
      </c>
      <c r="J490" s="45" t="s">
        <v>5727</v>
      </c>
      <c r="K490" s="81" t="str">
        <f>"00030932"</f>
        <v>00030932</v>
      </c>
    </row>
    <row r="491" spans="1:11" ht="45" customHeight="1">
      <c r="A491" s="30">
        <v>105</v>
      </c>
      <c r="B491" s="45" t="s">
        <v>5728</v>
      </c>
      <c r="C491" s="45" t="s">
        <v>88</v>
      </c>
      <c r="D491" s="46"/>
      <c r="E491" s="47">
        <v>80712</v>
      </c>
      <c r="F491" s="48">
        <v>4</v>
      </c>
      <c r="G491" s="45" t="s">
        <v>5729</v>
      </c>
      <c r="H491" s="30" t="s">
        <v>5730</v>
      </c>
      <c r="I491" s="45" t="s">
        <v>3586</v>
      </c>
      <c r="J491" s="49" t="s">
        <v>5731</v>
      </c>
      <c r="K491" s="81" t="str">
        <f>"00031969"</f>
        <v>00031969</v>
      </c>
    </row>
    <row r="492" spans="1:11" ht="45" customHeight="1">
      <c r="A492" s="30">
        <v>105</v>
      </c>
      <c r="B492" s="45" t="s">
        <v>5732</v>
      </c>
      <c r="C492" s="45" t="s">
        <v>88</v>
      </c>
      <c r="D492" s="46"/>
      <c r="E492" s="47">
        <v>67847</v>
      </c>
      <c r="F492" s="48">
        <v>4</v>
      </c>
      <c r="G492" s="45" t="s">
        <v>5733</v>
      </c>
      <c r="H492" s="30" t="s">
        <v>4870</v>
      </c>
      <c r="I492" s="45" t="s">
        <v>3604</v>
      </c>
      <c r="J492" s="45" t="s">
        <v>468</v>
      </c>
      <c r="K492" s="81" t="str">
        <f>"00031224"</f>
        <v>00031224</v>
      </c>
    </row>
    <row r="493" spans="1:11" ht="45" customHeight="1">
      <c r="A493" s="30">
        <v>105</v>
      </c>
      <c r="B493" s="45" t="s">
        <v>5724</v>
      </c>
      <c r="C493" s="45" t="s">
        <v>88</v>
      </c>
      <c r="D493" s="46"/>
      <c r="E493" s="47">
        <v>63039</v>
      </c>
      <c r="F493" s="48">
        <v>4</v>
      </c>
      <c r="G493" s="45" t="s">
        <v>5734</v>
      </c>
      <c r="H493" s="30" t="s">
        <v>5735</v>
      </c>
      <c r="I493" s="45" t="s">
        <v>3577</v>
      </c>
      <c r="J493" s="45" t="s">
        <v>4228</v>
      </c>
      <c r="K493" s="81" t="str">
        <f>"00030926"</f>
        <v>00030926</v>
      </c>
    </row>
    <row r="494" spans="1:11" ht="45" customHeight="1">
      <c r="A494" s="30">
        <v>105</v>
      </c>
      <c r="B494" s="45" t="s">
        <v>5736</v>
      </c>
      <c r="C494" s="45" t="s">
        <v>88</v>
      </c>
      <c r="D494" s="46"/>
      <c r="E494" s="47">
        <v>45804</v>
      </c>
      <c r="F494" s="48">
        <v>4</v>
      </c>
      <c r="G494" s="45" t="s">
        <v>5718</v>
      </c>
      <c r="H494" s="30" t="s">
        <v>5737</v>
      </c>
      <c r="I494" s="45" t="s">
        <v>605</v>
      </c>
      <c r="J494" s="45" t="s">
        <v>443</v>
      </c>
      <c r="K494" s="81" t="str">
        <f>"00030591"</f>
        <v>00030591</v>
      </c>
    </row>
    <row r="495" spans="1:11" ht="45" customHeight="1">
      <c r="A495" s="30">
        <v>105</v>
      </c>
      <c r="B495" s="45" t="s">
        <v>5728</v>
      </c>
      <c r="C495" s="45" t="s">
        <v>88</v>
      </c>
      <c r="D495" s="46"/>
      <c r="E495" s="47">
        <v>87553</v>
      </c>
      <c r="F495" s="48">
        <v>4</v>
      </c>
      <c r="G495" s="45" t="s">
        <v>5738</v>
      </c>
      <c r="H495" s="30" t="s">
        <v>5050</v>
      </c>
      <c r="I495" s="45" t="s">
        <v>3586</v>
      </c>
      <c r="J495" s="45" t="s">
        <v>3252</v>
      </c>
      <c r="K495" s="81" t="str">
        <f>"00030435"</f>
        <v>00030435</v>
      </c>
    </row>
    <row r="496" spans="1:11" ht="45" customHeight="1">
      <c r="A496" s="30">
        <v>105</v>
      </c>
      <c r="B496" s="51" t="s">
        <v>5739</v>
      </c>
      <c r="C496" s="45" t="s">
        <v>88</v>
      </c>
      <c r="D496" s="46"/>
      <c r="E496" s="47">
        <v>71621</v>
      </c>
      <c r="F496" s="48">
        <v>4</v>
      </c>
      <c r="G496" s="49" t="s">
        <v>5740</v>
      </c>
      <c r="H496" s="30" t="s">
        <v>5741</v>
      </c>
      <c r="I496" s="45" t="s">
        <v>5742</v>
      </c>
      <c r="J496" s="45" t="s">
        <v>5743</v>
      </c>
      <c r="K496" s="81" t="str">
        <f>"00030797"</f>
        <v>00030797</v>
      </c>
    </row>
    <row r="497" spans="1:11" ht="45" customHeight="1">
      <c r="A497" s="30">
        <v>105</v>
      </c>
      <c r="B497" s="45" t="s">
        <v>5744</v>
      </c>
      <c r="C497" s="45" t="s">
        <v>88</v>
      </c>
      <c r="D497" s="46"/>
      <c r="E497" s="47">
        <v>82126</v>
      </c>
      <c r="F497" s="48">
        <v>4</v>
      </c>
      <c r="G497" s="45" t="s">
        <v>5745</v>
      </c>
      <c r="H497" s="30" t="s">
        <v>5746</v>
      </c>
      <c r="I497" s="45" t="s">
        <v>418</v>
      </c>
      <c r="J497" s="45" t="s">
        <v>418</v>
      </c>
      <c r="K497" s="81" t="str">
        <f>"00030833"</f>
        <v>00030833</v>
      </c>
    </row>
    <row r="498" spans="1:11" ht="45" customHeight="1">
      <c r="A498" s="30">
        <v>105</v>
      </c>
      <c r="B498" s="49" t="s">
        <v>5670</v>
      </c>
      <c r="C498" s="45" t="s">
        <v>88</v>
      </c>
      <c r="D498" s="46"/>
      <c r="E498" s="47">
        <v>85029</v>
      </c>
      <c r="F498" s="48">
        <v>4</v>
      </c>
      <c r="G498" s="45" t="s">
        <v>5747</v>
      </c>
      <c r="H498" s="30" t="s">
        <v>5748</v>
      </c>
      <c r="I498" s="45" t="s">
        <v>3586</v>
      </c>
      <c r="J498" s="45" t="s">
        <v>713</v>
      </c>
      <c r="K498" s="81" t="str">
        <f>"00029957"</f>
        <v>00029957</v>
      </c>
    </row>
    <row r="499" spans="1:11" ht="45" customHeight="1">
      <c r="A499" s="30">
        <v>105</v>
      </c>
      <c r="B499" s="49" t="s">
        <v>5749</v>
      </c>
      <c r="C499" s="45" t="s">
        <v>88</v>
      </c>
      <c r="D499" s="46"/>
      <c r="E499" s="47">
        <v>85698</v>
      </c>
      <c r="F499" s="48">
        <v>4</v>
      </c>
      <c r="G499" s="45" t="s">
        <v>5750</v>
      </c>
      <c r="H499" s="30" t="s">
        <v>5751</v>
      </c>
      <c r="I499" s="45" t="s">
        <v>3586</v>
      </c>
      <c r="J499" s="51" t="s">
        <v>522</v>
      </c>
      <c r="K499" s="81" t="str">
        <f>"00032414"</f>
        <v>00032414</v>
      </c>
    </row>
    <row r="500" spans="1:11" ht="45" customHeight="1">
      <c r="A500" s="30">
        <v>105</v>
      </c>
      <c r="B500" s="45" t="s">
        <v>5752</v>
      </c>
      <c r="C500" s="45" t="s">
        <v>88</v>
      </c>
      <c r="D500" s="46"/>
      <c r="E500" s="47">
        <v>17027</v>
      </c>
      <c r="F500" s="48">
        <v>4</v>
      </c>
      <c r="G500" s="45" t="s">
        <v>5753</v>
      </c>
      <c r="H500" s="30" t="s">
        <v>5754</v>
      </c>
      <c r="I500" s="45" t="s">
        <v>3577</v>
      </c>
      <c r="J500" s="45" t="s">
        <v>3973</v>
      </c>
      <c r="K500" s="81" t="str">
        <f>"00031770"</f>
        <v>00031770</v>
      </c>
    </row>
    <row r="501" spans="1:11" ht="45" customHeight="1">
      <c r="A501" s="30">
        <v>105</v>
      </c>
      <c r="B501" s="45" t="s">
        <v>5755</v>
      </c>
      <c r="C501" s="45" t="s">
        <v>88</v>
      </c>
      <c r="D501" s="46"/>
      <c r="E501" s="47">
        <v>87551</v>
      </c>
      <c r="F501" s="48">
        <v>4</v>
      </c>
      <c r="G501" s="45" t="s">
        <v>5756</v>
      </c>
      <c r="H501" s="30" t="s">
        <v>5757</v>
      </c>
      <c r="I501" s="45" t="s">
        <v>3577</v>
      </c>
      <c r="J501" s="45" t="s">
        <v>4228</v>
      </c>
      <c r="K501" s="81" t="str">
        <f>"00030931"</f>
        <v>00030931</v>
      </c>
    </row>
    <row r="502" spans="1:11" ht="45" customHeight="1">
      <c r="A502" s="30">
        <v>105</v>
      </c>
      <c r="B502" s="49" t="s">
        <v>5758</v>
      </c>
      <c r="C502" s="45" t="s">
        <v>88</v>
      </c>
      <c r="D502" s="46"/>
      <c r="E502" s="47">
        <v>126689</v>
      </c>
      <c r="F502" s="48">
        <v>4</v>
      </c>
      <c r="G502" s="76" t="s">
        <v>5759</v>
      </c>
      <c r="H502" s="30" t="s">
        <v>5760</v>
      </c>
      <c r="I502" s="45" t="s">
        <v>3586</v>
      </c>
      <c r="J502" s="51" t="s">
        <v>5761</v>
      </c>
      <c r="K502" s="81" t="str">
        <f>"00032163"</f>
        <v>00032163</v>
      </c>
    </row>
    <row r="503" spans="1:11" ht="45" customHeight="1">
      <c r="A503" s="30">
        <v>105</v>
      </c>
      <c r="B503" s="45" t="s">
        <v>5762</v>
      </c>
      <c r="C503" s="45" t="s">
        <v>88</v>
      </c>
      <c r="D503" s="46"/>
      <c r="E503" s="47">
        <v>100000</v>
      </c>
      <c r="F503" s="48">
        <v>4</v>
      </c>
      <c r="G503" s="49" t="s">
        <v>5763</v>
      </c>
      <c r="H503" s="30" t="s">
        <v>5764</v>
      </c>
      <c r="I503" s="45" t="s">
        <v>3586</v>
      </c>
      <c r="J503" s="49" t="s">
        <v>5765</v>
      </c>
      <c r="K503" s="81" t="str">
        <f>"00032521"</f>
        <v>00032521</v>
      </c>
    </row>
    <row r="504" spans="1:11" ht="45" customHeight="1">
      <c r="A504" s="30">
        <v>105</v>
      </c>
      <c r="B504" s="45" t="s">
        <v>5766</v>
      </c>
      <c r="C504" s="45" t="s">
        <v>88</v>
      </c>
      <c r="D504" s="46"/>
      <c r="E504" s="47">
        <v>95880</v>
      </c>
      <c r="F504" s="48">
        <v>4</v>
      </c>
      <c r="G504" s="45" t="s">
        <v>5767</v>
      </c>
      <c r="H504" s="30" t="s">
        <v>5768</v>
      </c>
      <c r="I504" s="45" t="s">
        <v>3586</v>
      </c>
      <c r="J504" s="51" t="s">
        <v>522</v>
      </c>
      <c r="K504" s="81" t="str">
        <f>"00031574"</f>
        <v>00031574</v>
      </c>
    </row>
    <row r="505" spans="1:11" ht="45" customHeight="1">
      <c r="A505" s="30">
        <v>105</v>
      </c>
      <c r="B505" s="51" t="s">
        <v>5769</v>
      </c>
      <c r="C505" s="45" t="s">
        <v>88</v>
      </c>
      <c r="D505" s="46"/>
      <c r="E505" s="47">
        <v>100000</v>
      </c>
      <c r="F505" s="48">
        <v>4</v>
      </c>
      <c r="G505" s="45" t="s">
        <v>5770</v>
      </c>
      <c r="H505" s="30" t="s">
        <v>5771</v>
      </c>
      <c r="I505" s="45" t="s">
        <v>3586</v>
      </c>
      <c r="J505" s="51" t="s">
        <v>544</v>
      </c>
      <c r="K505" s="81" t="str">
        <f>"00032671"</f>
        <v>00032671</v>
      </c>
    </row>
    <row r="506" spans="1:11" ht="45" customHeight="1">
      <c r="A506" s="30">
        <v>105</v>
      </c>
      <c r="B506" s="45" t="s">
        <v>5772</v>
      </c>
      <c r="C506" s="45" t="s">
        <v>88</v>
      </c>
      <c r="D506" s="46"/>
      <c r="E506" s="47">
        <v>84339</v>
      </c>
      <c r="F506" s="48">
        <v>4</v>
      </c>
      <c r="G506" s="45" t="s">
        <v>5773</v>
      </c>
      <c r="H506" s="30" t="s">
        <v>5774</v>
      </c>
      <c r="I506" s="45" t="s">
        <v>3586</v>
      </c>
      <c r="J506" s="49" t="s">
        <v>5775</v>
      </c>
      <c r="K506" s="81" t="str">
        <f>"00032940"</f>
        <v>00032940</v>
      </c>
    </row>
    <row r="507" spans="1:11" ht="45" customHeight="1">
      <c r="A507" s="30">
        <v>105</v>
      </c>
      <c r="B507" s="45" t="s">
        <v>5752</v>
      </c>
      <c r="C507" s="45" t="s">
        <v>88</v>
      </c>
      <c r="D507" s="46"/>
      <c r="E507" s="47">
        <v>28818</v>
      </c>
      <c r="F507" s="48">
        <v>4</v>
      </c>
      <c r="G507" s="49" t="s">
        <v>5776</v>
      </c>
      <c r="H507" s="30" t="s">
        <v>5777</v>
      </c>
      <c r="I507" s="45" t="s">
        <v>3577</v>
      </c>
      <c r="J507" s="45" t="s">
        <v>3973</v>
      </c>
      <c r="K507" s="81" t="str">
        <f>"00031859"</f>
        <v>00031859</v>
      </c>
    </row>
    <row r="508" spans="1:11" ht="45" customHeight="1">
      <c r="A508" s="30">
        <v>105</v>
      </c>
      <c r="B508" s="45" t="s">
        <v>5752</v>
      </c>
      <c r="C508" s="45" t="s">
        <v>88</v>
      </c>
      <c r="D508" s="46"/>
      <c r="E508" s="47">
        <v>1500</v>
      </c>
      <c r="F508" s="48">
        <v>4</v>
      </c>
      <c r="G508" s="51" t="s">
        <v>5778</v>
      </c>
      <c r="H508" s="30" t="s">
        <v>5777</v>
      </c>
      <c r="I508" s="45" t="s">
        <v>3577</v>
      </c>
      <c r="J508" s="45" t="s">
        <v>3973</v>
      </c>
      <c r="K508" s="81" t="s">
        <v>5615</v>
      </c>
    </row>
    <row r="509" spans="1:11" ht="45" customHeight="1">
      <c r="A509" s="30">
        <v>105</v>
      </c>
      <c r="B509" s="49" t="s">
        <v>5670</v>
      </c>
      <c r="C509" s="45" t="s">
        <v>88</v>
      </c>
      <c r="D509" s="46"/>
      <c r="E509" s="47">
        <v>20210</v>
      </c>
      <c r="F509" s="48">
        <v>4</v>
      </c>
      <c r="G509" s="51" t="s">
        <v>5779</v>
      </c>
      <c r="H509" s="30" t="s">
        <v>5780</v>
      </c>
      <c r="I509" s="45" t="s">
        <v>3586</v>
      </c>
      <c r="J509" s="45" t="s">
        <v>713</v>
      </c>
      <c r="K509" s="81" t="str">
        <f>"00029881"</f>
        <v>00029881</v>
      </c>
    </row>
    <row r="510" spans="1:11" ht="45" customHeight="1">
      <c r="A510" s="30">
        <v>105</v>
      </c>
      <c r="B510" s="45" t="s">
        <v>5752</v>
      </c>
      <c r="C510" s="45" t="s">
        <v>88</v>
      </c>
      <c r="D510" s="46"/>
      <c r="E510" s="47">
        <v>20661</v>
      </c>
      <c r="F510" s="48">
        <v>4</v>
      </c>
      <c r="G510" s="51" t="s">
        <v>5781</v>
      </c>
      <c r="H510" s="30" t="s">
        <v>5782</v>
      </c>
      <c r="I510" s="45" t="s">
        <v>3577</v>
      </c>
      <c r="J510" s="45" t="s">
        <v>3973</v>
      </c>
      <c r="K510" s="81" t="str">
        <f>"00031664"</f>
        <v>00031664</v>
      </c>
    </row>
    <row r="511" spans="1:11" ht="45" customHeight="1">
      <c r="A511" s="30">
        <v>105</v>
      </c>
      <c r="B511" s="45" t="s">
        <v>5783</v>
      </c>
      <c r="C511" s="45" t="s">
        <v>88</v>
      </c>
      <c r="D511" s="46"/>
      <c r="E511" s="47">
        <v>90668</v>
      </c>
      <c r="F511" s="48">
        <v>4</v>
      </c>
      <c r="G511" s="45" t="s">
        <v>5784</v>
      </c>
      <c r="H511" s="30" t="s">
        <v>5785</v>
      </c>
      <c r="I511" s="45" t="s">
        <v>5786</v>
      </c>
      <c r="J511" s="45" t="s">
        <v>521</v>
      </c>
      <c r="K511" s="81" t="str">
        <f>"00031078"</f>
        <v>00031078</v>
      </c>
    </row>
    <row r="512" spans="1:11" ht="45" customHeight="1">
      <c r="A512" s="30">
        <v>105</v>
      </c>
      <c r="B512" s="45" t="s">
        <v>5787</v>
      </c>
      <c r="C512" s="45" t="s">
        <v>88</v>
      </c>
      <c r="D512" s="46"/>
      <c r="E512" s="47">
        <v>78865</v>
      </c>
      <c r="F512" s="48">
        <v>4</v>
      </c>
      <c r="G512" s="45" t="s">
        <v>5788</v>
      </c>
      <c r="H512" s="30" t="s">
        <v>5424</v>
      </c>
      <c r="I512" s="45" t="s">
        <v>3586</v>
      </c>
      <c r="J512" s="51" t="s">
        <v>522</v>
      </c>
      <c r="K512" s="81" t="str">
        <f>"00032161"</f>
        <v>00032161</v>
      </c>
    </row>
    <row r="513" spans="1:11" ht="45" customHeight="1">
      <c r="A513" s="30">
        <v>105</v>
      </c>
      <c r="B513" s="45" t="s">
        <v>5789</v>
      </c>
      <c r="C513" s="45" t="s">
        <v>88</v>
      </c>
      <c r="D513" s="46"/>
      <c r="E513" s="47">
        <v>100000</v>
      </c>
      <c r="F513" s="48">
        <v>4</v>
      </c>
      <c r="G513" s="51" t="s">
        <v>5790</v>
      </c>
      <c r="H513" s="30" t="s">
        <v>5791</v>
      </c>
      <c r="I513" s="45" t="s">
        <v>4267</v>
      </c>
      <c r="J513" s="45" t="s">
        <v>5792</v>
      </c>
      <c r="K513" s="81" t="str">
        <f>"00032340"</f>
        <v>00032340</v>
      </c>
    </row>
    <row r="514" spans="1:11" ht="45" customHeight="1">
      <c r="A514" s="30">
        <v>105</v>
      </c>
      <c r="B514" s="45" t="s">
        <v>5789</v>
      </c>
      <c r="C514" s="45" t="s">
        <v>88</v>
      </c>
      <c r="D514" s="46"/>
      <c r="E514" s="47">
        <v>-100000</v>
      </c>
      <c r="F514" s="48">
        <v>4</v>
      </c>
      <c r="G514" s="51" t="s">
        <v>5790</v>
      </c>
      <c r="H514" s="30" t="s">
        <v>5791</v>
      </c>
      <c r="I514" s="45" t="s">
        <v>4267</v>
      </c>
      <c r="J514" s="45" t="s">
        <v>5792</v>
      </c>
      <c r="K514" s="82" t="s">
        <v>5851</v>
      </c>
    </row>
    <row r="515" spans="1:11" ht="45" customHeight="1">
      <c r="A515" s="30">
        <v>105</v>
      </c>
      <c r="B515" s="45" t="s">
        <v>5762</v>
      </c>
      <c r="C515" s="45" t="s">
        <v>88</v>
      </c>
      <c r="D515" s="46"/>
      <c r="E515" s="47">
        <v>50000</v>
      </c>
      <c r="F515" s="48">
        <v>4</v>
      </c>
      <c r="G515" s="53" t="s">
        <v>5793</v>
      </c>
      <c r="H515" s="30" t="s">
        <v>5794</v>
      </c>
      <c r="I515" s="45" t="s">
        <v>3586</v>
      </c>
      <c r="J515" s="49" t="s">
        <v>5795</v>
      </c>
      <c r="K515" s="81" t="str">
        <f>"00032611"</f>
        <v>00032611</v>
      </c>
    </row>
    <row r="516" spans="1:11" ht="45" customHeight="1">
      <c r="A516" s="30">
        <v>105</v>
      </c>
      <c r="B516" s="45" t="s">
        <v>5728</v>
      </c>
      <c r="C516" s="45" t="s">
        <v>88</v>
      </c>
      <c r="D516" s="46"/>
      <c r="E516" s="47">
        <v>98331</v>
      </c>
      <c r="F516" s="48">
        <v>4</v>
      </c>
      <c r="G516" s="45" t="s">
        <v>5738</v>
      </c>
      <c r="H516" s="30" t="s">
        <v>5796</v>
      </c>
      <c r="I516" s="45" t="s">
        <v>3586</v>
      </c>
      <c r="J516" s="45" t="s">
        <v>3252</v>
      </c>
      <c r="K516" s="81" t="str">
        <f>"00030925"</f>
        <v>00030925</v>
      </c>
    </row>
    <row r="517" spans="1:11" ht="45" customHeight="1">
      <c r="A517" s="30">
        <v>105</v>
      </c>
      <c r="B517" s="45" t="s">
        <v>5720</v>
      </c>
      <c r="C517" s="45" t="s">
        <v>88</v>
      </c>
      <c r="D517" s="46"/>
      <c r="E517" s="47">
        <v>90738</v>
      </c>
      <c r="F517" s="48">
        <v>4</v>
      </c>
      <c r="G517" s="45" t="s">
        <v>5797</v>
      </c>
      <c r="H517" s="30" t="s">
        <v>4867</v>
      </c>
      <c r="I517" s="45" t="s">
        <v>4233</v>
      </c>
      <c r="J517" s="45" t="s">
        <v>5188</v>
      </c>
      <c r="K517" s="81" t="str">
        <f>"00032024"</f>
        <v>00032024</v>
      </c>
    </row>
    <row r="518" spans="1:11" ht="45" customHeight="1">
      <c r="A518" s="30">
        <v>105</v>
      </c>
      <c r="B518" s="45" t="s">
        <v>5798</v>
      </c>
      <c r="C518" s="45" t="s">
        <v>88</v>
      </c>
      <c r="D518" s="46"/>
      <c r="E518" s="47">
        <v>50000</v>
      </c>
      <c r="F518" s="48">
        <v>4</v>
      </c>
      <c r="G518" s="45" t="s">
        <v>5798</v>
      </c>
      <c r="H518" s="30" t="s">
        <v>5799</v>
      </c>
      <c r="I518" s="45" t="s">
        <v>3586</v>
      </c>
      <c r="J518" s="45" t="s">
        <v>5800</v>
      </c>
      <c r="K518" s="81" t="str">
        <f>"00032614"</f>
        <v>00032614</v>
      </c>
    </row>
    <row r="519" spans="1:11" ht="45" customHeight="1">
      <c r="A519" s="30">
        <v>105</v>
      </c>
      <c r="B519" s="45" t="s">
        <v>5798</v>
      </c>
      <c r="C519" s="45" t="s">
        <v>88</v>
      </c>
      <c r="D519" s="46"/>
      <c r="E519" s="47">
        <v>-50000</v>
      </c>
      <c r="F519" s="48">
        <v>4</v>
      </c>
      <c r="G519" s="45" t="s">
        <v>5798</v>
      </c>
      <c r="H519" s="30" t="s">
        <v>5799</v>
      </c>
      <c r="I519" s="45" t="s">
        <v>3586</v>
      </c>
      <c r="J519" s="45" t="s">
        <v>5800</v>
      </c>
      <c r="K519" s="82" t="s">
        <v>5851</v>
      </c>
    </row>
    <row r="520" spans="1:11" ht="45" customHeight="1">
      <c r="A520" s="30">
        <v>105</v>
      </c>
      <c r="B520" s="45" t="s">
        <v>5801</v>
      </c>
      <c r="C520" s="45" t="s">
        <v>88</v>
      </c>
      <c r="D520" s="46"/>
      <c r="E520" s="47">
        <v>70000</v>
      </c>
      <c r="F520" s="48">
        <v>4</v>
      </c>
      <c r="G520" s="45" t="s">
        <v>5801</v>
      </c>
      <c r="H520" s="30" t="s">
        <v>5802</v>
      </c>
      <c r="I520" s="45" t="s">
        <v>3586</v>
      </c>
      <c r="J520" s="45" t="s">
        <v>544</v>
      </c>
      <c r="K520" s="81" t="str">
        <f>"00032682"</f>
        <v>00032682</v>
      </c>
    </row>
    <row r="521" spans="1:11" ht="45" customHeight="1">
      <c r="A521" s="30">
        <v>105</v>
      </c>
      <c r="B521" s="45" t="s">
        <v>5803</v>
      </c>
      <c r="C521" s="45" t="s">
        <v>88</v>
      </c>
      <c r="D521" s="46"/>
      <c r="E521" s="47">
        <v>70000</v>
      </c>
      <c r="F521" s="48">
        <v>4</v>
      </c>
      <c r="G521" s="45" t="s">
        <v>5803</v>
      </c>
      <c r="H521" s="30" t="s">
        <v>5804</v>
      </c>
      <c r="I521" s="45" t="s">
        <v>3586</v>
      </c>
      <c r="J521" s="45" t="s">
        <v>5805</v>
      </c>
      <c r="K521" s="81" t="str">
        <f>"00028824"</f>
        <v>00028824</v>
      </c>
    </row>
    <row r="522" spans="1:11" ht="45" customHeight="1">
      <c r="A522" s="30">
        <v>105</v>
      </c>
      <c r="B522" s="45" t="s">
        <v>5806</v>
      </c>
      <c r="C522" s="45" t="s">
        <v>88</v>
      </c>
      <c r="D522" s="46"/>
      <c r="E522" s="47">
        <v>48578</v>
      </c>
      <c r="F522" s="48">
        <v>4</v>
      </c>
      <c r="G522" s="45" t="s">
        <v>5806</v>
      </c>
      <c r="H522" s="30" t="s">
        <v>5807</v>
      </c>
      <c r="I522" s="45" t="s">
        <v>5808</v>
      </c>
      <c r="J522" s="49" t="s">
        <v>5809</v>
      </c>
      <c r="K522" s="81" t="str">
        <f>"00028452"</f>
        <v>00028452</v>
      </c>
    </row>
    <row r="523" spans="1:11" ht="45" customHeight="1">
      <c r="A523" s="30">
        <v>105</v>
      </c>
      <c r="B523" s="49" t="s">
        <v>5810</v>
      </c>
      <c r="C523" s="45" t="s">
        <v>88</v>
      </c>
      <c r="D523" s="46"/>
      <c r="E523" s="47">
        <v>11587</v>
      </c>
      <c r="F523" s="48">
        <v>4</v>
      </c>
      <c r="G523" s="51" t="s">
        <v>5810</v>
      </c>
      <c r="H523" s="30" t="s">
        <v>5811</v>
      </c>
      <c r="I523" s="45" t="s">
        <v>4233</v>
      </c>
      <c r="J523" s="45" t="s">
        <v>3756</v>
      </c>
      <c r="K523" s="81" t="str">
        <f>"00032160"</f>
        <v>00032160</v>
      </c>
    </row>
    <row r="524" spans="1:11" ht="45" customHeight="1">
      <c r="A524" s="30">
        <v>105</v>
      </c>
      <c r="B524" s="45" t="s">
        <v>5812</v>
      </c>
      <c r="C524" s="45" t="s">
        <v>88</v>
      </c>
      <c r="D524" s="46"/>
      <c r="E524" s="47">
        <v>6703</v>
      </c>
      <c r="F524" s="48">
        <v>4</v>
      </c>
      <c r="G524" s="45" t="s">
        <v>5812</v>
      </c>
      <c r="H524" s="30" t="s">
        <v>5813</v>
      </c>
      <c r="I524" s="45" t="s">
        <v>3586</v>
      </c>
      <c r="J524" s="51" t="s">
        <v>522</v>
      </c>
      <c r="K524" s="81" t="str">
        <f>"00031950"</f>
        <v>00031950</v>
      </c>
    </row>
    <row r="525" spans="1:11" ht="45" customHeight="1">
      <c r="A525" s="30">
        <v>105</v>
      </c>
      <c r="B525" s="49" t="s">
        <v>5790</v>
      </c>
      <c r="C525" s="45" t="s">
        <v>88</v>
      </c>
      <c r="D525" s="46"/>
      <c r="E525" s="47">
        <v>50583</v>
      </c>
      <c r="F525" s="48">
        <v>4</v>
      </c>
      <c r="G525" s="51" t="s">
        <v>5790</v>
      </c>
      <c r="H525" s="30" t="s">
        <v>5791</v>
      </c>
      <c r="I525" s="45" t="s">
        <v>4267</v>
      </c>
      <c r="J525" s="45" t="s">
        <v>5792</v>
      </c>
      <c r="K525" s="81" t="str">
        <f>"00032340"</f>
        <v>00032340</v>
      </c>
    </row>
    <row r="526" spans="1:11" ht="45" customHeight="1">
      <c r="A526" s="30">
        <v>105</v>
      </c>
      <c r="B526" s="45" t="s">
        <v>5814</v>
      </c>
      <c r="C526" s="45" t="s">
        <v>88</v>
      </c>
      <c r="D526" s="46"/>
      <c r="E526" s="47">
        <v>6213</v>
      </c>
      <c r="F526" s="48">
        <v>4</v>
      </c>
      <c r="G526" s="45" t="s">
        <v>5814</v>
      </c>
      <c r="H526" s="30" t="s">
        <v>5723</v>
      </c>
      <c r="I526" s="45" t="s">
        <v>605</v>
      </c>
      <c r="J526" s="45" t="s">
        <v>443</v>
      </c>
      <c r="K526" s="81" t="str">
        <f>"00030784"</f>
        <v>00030784</v>
      </c>
    </row>
    <row r="527" spans="1:11" ht="45" customHeight="1">
      <c r="A527" s="30">
        <v>105</v>
      </c>
      <c r="B527" s="49" t="s">
        <v>5815</v>
      </c>
      <c r="C527" s="45" t="s">
        <v>88</v>
      </c>
      <c r="D527" s="46"/>
      <c r="E527" s="47">
        <v>213222</v>
      </c>
      <c r="F527" s="48">
        <v>4</v>
      </c>
      <c r="G527" s="49" t="s">
        <v>5815</v>
      </c>
      <c r="H527" s="30" t="s">
        <v>5816</v>
      </c>
      <c r="I527" s="45" t="s">
        <v>3586</v>
      </c>
      <c r="J527" s="49" t="s">
        <v>5817</v>
      </c>
      <c r="K527" s="81" t="str">
        <f>"00032339"</f>
        <v>00032339</v>
      </c>
    </row>
    <row r="528" spans="1:11" ht="45" customHeight="1">
      <c r="A528" s="30">
        <v>105</v>
      </c>
      <c r="B528" s="45" t="s">
        <v>5818</v>
      </c>
      <c r="C528" s="45" t="s">
        <v>88</v>
      </c>
      <c r="D528" s="46"/>
      <c r="E528" s="47">
        <v>4070</v>
      </c>
      <c r="F528" s="48">
        <v>4</v>
      </c>
      <c r="G528" s="45" t="s">
        <v>5818</v>
      </c>
      <c r="H528" s="30" t="s">
        <v>5819</v>
      </c>
      <c r="I528" s="45" t="s">
        <v>3577</v>
      </c>
      <c r="J528" s="45" t="s">
        <v>469</v>
      </c>
      <c r="K528" s="81" t="str">
        <f>"00032729"</f>
        <v>00032729</v>
      </c>
    </row>
    <row r="529" spans="1:11" ht="45" customHeight="1">
      <c r="A529" s="30">
        <v>105</v>
      </c>
      <c r="B529" s="45" t="s">
        <v>5649</v>
      </c>
      <c r="C529" s="45" t="s">
        <v>88</v>
      </c>
      <c r="D529" s="46"/>
      <c r="E529" s="47">
        <v>30000</v>
      </c>
      <c r="F529" s="48">
        <v>4</v>
      </c>
      <c r="G529" s="45" t="s">
        <v>5649</v>
      </c>
      <c r="H529" s="30" t="s">
        <v>4582</v>
      </c>
      <c r="I529" s="45" t="s">
        <v>3586</v>
      </c>
      <c r="J529" s="45" t="s">
        <v>4630</v>
      </c>
      <c r="K529" s="81" t="str">
        <f>"00028301"</f>
        <v>00028301</v>
      </c>
    </row>
    <row r="530" spans="1:11" ht="45" customHeight="1">
      <c r="A530" s="30">
        <v>105</v>
      </c>
      <c r="B530" s="52" t="s">
        <v>5820</v>
      </c>
      <c r="C530" s="45" t="s">
        <v>88</v>
      </c>
      <c r="D530" s="46"/>
      <c r="E530" s="47">
        <v>100597</v>
      </c>
      <c r="F530" s="48">
        <v>4</v>
      </c>
      <c r="G530" s="55" t="s">
        <v>5820</v>
      </c>
      <c r="H530" s="30" t="s">
        <v>5821</v>
      </c>
      <c r="I530" s="45" t="s">
        <v>3586</v>
      </c>
      <c r="J530" s="49" t="s">
        <v>5822</v>
      </c>
      <c r="K530" s="81" t="str">
        <f>"00028611"</f>
        <v>00028611</v>
      </c>
    </row>
    <row r="531" spans="1:11" ht="45" customHeight="1">
      <c r="A531" s="30">
        <v>105</v>
      </c>
      <c r="B531" s="45" t="s">
        <v>5823</v>
      </c>
      <c r="C531" s="45" t="s">
        <v>88</v>
      </c>
      <c r="D531" s="46"/>
      <c r="E531" s="47">
        <v>102649</v>
      </c>
      <c r="F531" s="48">
        <v>4</v>
      </c>
      <c r="G531" s="45" t="s">
        <v>5823</v>
      </c>
      <c r="H531" s="30" t="s">
        <v>5824</v>
      </c>
      <c r="I531" s="45" t="s">
        <v>3586</v>
      </c>
      <c r="J531" s="51" t="s">
        <v>5111</v>
      </c>
      <c r="K531" s="81" t="str">
        <f>"00030419"</f>
        <v>00030419</v>
      </c>
    </row>
    <row r="532" spans="1:11" ht="45" customHeight="1">
      <c r="A532" s="30">
        <v>105</v>
      </c>
      <c r="B532" s="45" t="s">
        <v>5825</v>
      </c>
      <c r="C532" s="45" t="s">
        <v>88</v>
      </c>
      <c r="D532" s="46"/>
      <c r="E532" s="47">
        <v>92309</v>
      </c>
      <c r="F532" s="48">
        <v>4</v>
      </c>
      <c r="G532" s="45" t="s">
        <v>5825</v>
      </c>
      <c r="H532" s="30" t="s">
        <v>5826</v>
      </c>
      <c r="I532" s="45" t="s">
        <v>5827</v>
      </c>
      <c r="J532" s="45" t="s">
        <v>5828</v>
      </c>
      <c r="K532" s="81" t="str">
        <f>"00029870"</f>
        <v>00029870</v>
      </c>
    </row>
    <row r="533" spans="1:11" ht="45" customHeight="1">
      <c r="A533" s="30">
        <v>105</v>
      </c>
      <c r="B533" s="45" t="s">
        <v>5829</v>
      </c>
      <c r="C533" s="45" t="s">
        <v>88</v>
      </c>
      <c r="D533" s="46"/>
      <c r="E533" s="47">
        <v>5000</v>
      </c>
      <c r="F533" s="48">
        <v>4</v>
      </c>
      <c r="G533" s="45" t="s">
        <v>5829</v>
      </c>
      <c r="H533" s="30" t="s">
        <v>5830</v>
      </c>
      <c r="I533" s="45" t="s">
        <v>3586</v>
      </c>
      <c r="J533" s="45" t="s">
        <v>713</v>
      </c>
      <c r="K533" s="81" t="str">
        <f>"00029868"</f>
        <v>00029868</v>
      </c>
    </row>
    <row r="534" spans="1:11" ht="45" customHeight="1">
      <c r="A534" s="30">
        <v>105</v>
      </c>
      <c r="B534" s="45" t="s">
        <v>5831</v>
      </c>
      <c r="C534" s="45" t="s">
        <v>88</v>
      </c>
      <c r="D534" s="46"/>
      <c r="E534" s="47">
        <v>143339</v>
      </c>
      <c r="F534" s="48">
        <v>4</v>
      </c>
      <c r="G534" s="45" t="s">
        <v>5831</v>
      </c>
      <c r="H534" s="30" t="s">
        <v>5832</v>
      </c>
      <c r="I534" s="45" t="s">
        <v>3586</v>
      </c>
      <c r="J534" s="45" t="s">
        <v>399</v>
      </c>
      <c r="K534" s="81" t="str">
        <f>"00030747"</f>
        <v>00030747</v>
      </c>
    </row>
    <row r="535" spans="1:11" ht="45" customHeight="1">
      <c r="A535" s="30">
        <v>105</v>
      </c>
      <c r="B535" s="51" t="s">
        <v>5833</v>
      </c>
      <c r="C535" s="45" t="s">
        <v>88</v>
      </c>
      <c r="D535" s="46"/>
      <c r="E535" s="47">
        <v>30052</v>
      </c>
      <c r="F535" s="48">
        <v>4</v>
      </c>
      <c r="G535" s="45" t="s">
        <v>5833</v>
      </c>
      <c r="H535" s="30" t="s">
        <v>4999</v>
      </c>
      <c r="I535" s="45" t="s">
        <v>3577</v>
      </c>
      <c r="J535" s="45" t="s">
        <v>401</v>
      </c>
      <c r="K535" s="81" t="str">
        <f>"00027121"</f>
        <v>00027121</v>
      </c>
    </row>
    <row r="536" spans="1:11" ht="45" customHeight="1">
      <c r="A536" s="30">
        <v>105</v>
      </c>
      <c r="B536" s="45" t="s">
        <v>5834</v>
      </c>
      <c r="C536" s="45" t="s">
        <v>88</v>
      </c>
      <c r="D536" s="46"/>
      <c r="E536" s="47">
        <v>114046</v>
      </c>
      <c r="F536" s="48">
        <v>4</v>
      </c>
      <c r="G536" s="45" t="s">
        <v>5834</v>
      </c>
      <c r="H536" s="30" t="s">
        <v>5835</v>
      </c>
      <c r="I536" s="45" t="s">
        <v>3586</v>
      </c>
      <c r="J536" s="45" t="s">
        <v>4630</v>
      </c>
      <c r="K536" s="81" t="str">
        <f>"00032091"</f>
        <v>00032091</v>
      </c>
    </row>
    <row r="537" spans="1:11" ht="45" customHeight="1">
      <c r="A537" s="30">
        <v>105</v>
      </c>
      <c r="B537" s="45" t="s">
        <v>5836</v>
      </c>
      <c r="C537" s="45" t="s">
        <v>88</v>
      </c>
      <c r="D537" s="46"/>
      <c r="E537" s="47">
        <v>93986</v>
      </c>
      <c r="F537" s="48">
        <v>4</v>
      </c>
      <c r="G537" s="45" t="s">
        <v>5836</v>
      </c>
      <c r="H537" s="30" t="s">
        <v>5837</v>
      </c>
      <c r="I537" s="45" t="s">
        <v>3586</v>
      </c>
      <c r="J537" s="45" t="s">
        <v>4630</v>
      </c>
      <c r="K537" s="81" t="str">
        <f>"00032569"</f>
        <v>00032569</v>
      </c>
    </row>
    <row r="538" spans="1:11" ht="45" customHeight="1">
      <c r="A538" s="30">
        <v>105</v>
      </c>
      <c r="B538" s="45" t="s">
        <v>5836</v>
      </c>
      <c r="C538" s="45" t="s">
        <v>88</v>
      </c>
      <c r="D538" s="46"/>
      <c r="E538" s="47">
        <v>95607</v>
      </c>
      <c r="F538" s="48">
        <v>4</v>
      </c>
      <c r="G538" s="45" t="s">
        <v>5836</v>
      </c>
      <c r="H538" s="30" t="s">
        <v>5838</v>
      </c>
      <c r="I538" s="45" t="s">
        <v>3586</v>
      </c>
      <c r="J538" s="45" t="s">
        <v>4630</v>
      </c>
      <c r="K538" s="81" t="str">
        <f>"00032581"</f>
        <v>00032581</v>
      </c>
    </row>
    <row r="539" spans="1:11" ht="45" customHeight="1">
      <c r="A539" s="30">
        <v>105</v>
      </c>
      <c r="B539" s="45" t="s">
        <v>5839</v>
      </c>
      <c r="C539" s="45" t="s">
        <v>88</v>
      </c>
      <c r="D539" s="46"/>
      <c r="E539" s="47">
        <v>103482</v>
      </c>
      <c r="F539" s="48">
        <v>4</v>
      </c>
      <c r="G539" s="45" t="s">
        <v>5839</v>
      </c>
      <c r="H539" s="30" t="s">
        <v>5840</v>
      </c>
      <c r="I539" s="45" t="s">
        <v>3586</v>
      </c>
      <c r="J539" s="45" t="s">
        <v>544</v>
      </c>
      <c r="K539" s="81" t="str">
        <f>"00032101"</f>
        <v>00032101</v>
      </c>
    </row>
    <row r="540" spans="1:11" ht="45" customHeight="1">
      <c r="A540" s="30">
        <v>105</v>
      </c>
      <c r="B540" s="45" t="s">
        <v>5841</v>
      </c>
      <c r="C540" s="45" t="s">
        <v>88</v>
      </c>
      <c r="D540" s="46"/>
      <c r="E540" s="47">
        <v>37854</v>
      </c>
      <c r="F540" s="48">
        <v>4</v>
      </c>
      <c r="G540" s="45" t="s">
        <v>5841</v>
      </c>
      <c r="H540" s="30" t="s">
        <v>5842</v>
      </c>
      <c r="I540" s="45" t="s">
        <v>3586</v>
      </c>
      <c r="J540" s="45" t="s">
        <v>5843</v>
      </c>
      <c r="K540" s="81" t="str">
        <f>"00030743"</f>
        <v>00030743</v>
      </c>
    </row>
    <row r="541" spans="1:11" ht="45" customHeight="1">
      <c r="A541" s="30">
        <v>105</v>
      </c>
      <c r="B541" s="45" t="s">
        <v>5844</v>
      </c>
      <c r="C541" s="45" t="s">
        <v>88</v>
      </c>
      <c r="D541" s="46"/>
      <c r="E541" s="47">
        <v>30000</v>
      </c>
      <c r="F541" s="48">
        <v>4</v>
      </c>
      <c r="G541" s="45" t="s">
        <v>5844</v>
      </c>
      <c r="H541" s="30" t="s">
        <v>4867</v>
      </c>
      <c r="I541" s="45" t="s">
        <v>3586</v>
      </c>
      <c r="J541" s="45" t="s">
        <v>522</v>
      </c>
      <c r="K541" s="81" t="str">
        <f>"00031990"</f>
        <v>00031990</v>
      </c>
    </row>
    <row r="542" spans="1:11" ht="45" customHeight="1">
      <c r="A542" s="30">
        <v>105</v>
      </c>
      <c r="B542" s="45" t="s">
        <v>5845</v>
      </c>
      <c r="C542" s="45" t="s">
        <v>88</v>
      </c>
      <c r="D542" s="46"/>
      <c r="E542" s="47">
        <v>5895</v>
      </c>
      <c r="F542" s="48">
        <v>4</v>
      </c>
      <c r="G542" s="45" t="s">
        <v>5846</v>
      </c>
      <c r="H542" s="30" t="s">
        <v>5847</v>
      </c>
      <c r="I542" s="45" t="s">
        <v>418</v>
      </c>
      <c r="J542" s="45" t="s">
        <v>418</v>
      </c>
      <c r="K542" s="81" t="str">
        <f>"00031416"</f>
        <v>00031416</v>
      </c>
    </row>
    <row r="543" spans="1:11" ht="45" customHeight="1">
      <c r="A543" s="30">
        <v>105</v>
      </c>
      <c r="B543" s="45" t="s">
        <v>5848</v>
      </c>
      <c r="C543" s="45" t="s">
        <v>88</v>
      </c>
      <c r="D543" s="46"/>
      <c r="E543" s="47">
        <v>118105</v>
      </c>
      <c r="F543" s="48">
        <v>4</v>
      </c>
      <c r="G543" s="45" t="s">
        <v>5848</v>
      </c>
      <c r="H543" s="30" t="s">
        <v>4693</v>
      </c>
      <c r="I543" s="45" t="s">
        <v>5827</v>
      </c>
      <c r="J543" s="45" t="s">
        <v>5828</v>
      </c>
      <c r="K543" s="83" t="s">
        <v>5852</v>
      </c>
    </row>
    <row r="544" spans="1:11" ht="45" customHeight="1">
      <c r="A544" s="30">
        <v>105</v>
      </c>
      <c r="B544" s="45" t="s">
        <v>5849</v>
      </c>
      <c r="C544" s="45"/>
      <c r="D544" s="46"/>
      <c r="E544" s="47">
        <v>57954</v>
      </c>
      <c r="F544" s="48">
        <v>4</v>
      </c>
      <c r="G544" s="45"/>
      <c r="H544" s="30"/>
      <c r="I544" s="45"/>
      <c r="J544" s="45"/>
      <c r="K544" s="81" t="s">
        <v>5609</v>
      </c>
    </row>
    <row r="545" spans="1:11" ht="45" customHeight="1">
      <c r="A545" s="30"/>
      <c r="B545" s="58" t="s">
        <v>664</v>
      </c>
      <c r="C545" s="45"/>
      <c r="D545" s="46"/>
      <c r="E545" s="47">
        <f>SUM(E452:E544)</f>
        <v>6906424</v>
      </c>
      <c r="F545" s="48"/>
      <c r="G545" s="45"/>
      <c r="H545" s="30"/>
      <c r="I545" s="45"/>
      <c r="J545" s="45"/>
      <c r="K545" s="50"/>
    </row>
    <row r="546" spans="1:11" ht="45" customHeight="1">
      <c r="A546" s="30"/>
      <c r="B546" s="56" t="s">
        <v>202</v>
      </c>
      <c r="C546" s="45"/>
      <c r="D546" s="46"/>
      <c r="E546" s="47"/>
      <c r="F546" s="48"/>
      <c r="G546" s="45"/>
      <c r="H546" s="30"/>
      <c r="I546" s="45"/>
      <c r="J546" s="45"/>
      <c r="K546" s="50"/>
    </row>
    <row r="547" spans="1:11" ht="45" customHeight="1">
      <c r="A547" s="32">
        <v>105</v>
      </c>
      <c r="B547" s="45" t="s">
        <v>1547</v>
      </c>
      <c r="C547" s="65" t="s">
        <v>38</v>
      </c>
      <c r="D547" s="66"/>
      <c r="E547" s="59">
        <v>40976</v>
      </c>
      <c r="F547" s="67">
        <v>4</v>
      </c>
      <c r="G547" s="65" t="s">
        <v>3370</v>
      </c>
      <c r="H547" s="32" t="s">
        <v>1297</v>
      </c>
      <c r="I547" s="65" t="s">
        <v>222</v>
      </c>
      <c r="J547" s="65" t="s">
        <v>223</v>
      </c>
      <c r="K547" s="84" t="str">
        <f>"00029312"</f>
        <v>00029312</v>
      </c>
    </row>
    <row r="548" spans="1:11" ht="45" customHeight="1">
      <c r="A548" s="32">
        <v>105</v>
      </c>
      <c r="B548" s="45" t="s">
        <v>1574</v>
      </c>
      <c r="C548" s="65" t="s">
        <v>38</v>
      </c>
      <c r="D548" s="66"/>
      <c r="E548" s="59">
        <v>115063</v>
      </c>
      <c r="F548" s="67">
        <v>4</v>
      </c>
      <c r="G548" s="65" t="s">
        <v>1575</v>
      </c>
      <c r="H548" s="32" t="s">
        <v>1576</v>
      </c>
      <c r="I548" s="65" t="s">
        <v>107</v>
      </c>
      <c r="J548" s="65" t="s">
        <v>1577</v>
      </c>
      <c r="K548" s="84" t="str">
        <f>"00026804"</f>
        <v>00026804</v>
      </c>
    </row>
    <row r="549" spans="1:11" ht="45" customHeight="1">
      <c r="A549" s="32">
        <v>105</v>
      </c>
      <c r="B549" s="45" t="s">
        <v>14</v>
      </c>
      <c r="C549" s="65" t="s">
        <v>38</v>
      </c>
      <c r="D549" s="66"/>
      <c r="E549" s="59">
        <v>56254</v>
      </c>
      <c r="F549" s="67">
        <v>4</v>
      </c>
      <c r="G549" s="65" t="s">
        <v>3371</v>
      </c>
      <c r="H549" s="32" t="s">
        <v>1571</v>
      </c>
      <c r="I549" s="71" t="s">
        <v>1572</v>
      </c>
      <c r="J549" s="65" t="s">
        <v>1573</v>
      </c>
      <c r="K549" s="84" t="str">
        <f>"00022542"</f>
        <v>00022542</v>
      </c>
    </row>
    <row r="550" spans="1:11" ht="45" customHeight="1">
      <c r="A550" s="32">
        <v>105</v>
      </c>
      <c r="B550" s="45" t="s">
        <v>1564</v>
      </c>
      <c r="C550" s="65" t="s">
        <v>38</v>
      </c>
      <c r="D550" s="66"/>
      <c r="E550" s="59">
        <v>72949</v>
      </c>
      <c r="F550" s="67">
        <v>4</v>
      </c>
      <c r="G550" s="65" t="s">
        <v>3371</v>
      </c>
      <c r="H550" s="32" t="s">
        <v>1571</v>
      </c>
      <c r="I550" s="71" t="s">
        <v>1572</v>
      </c>
      <c r="J550" s="65" t="s">
        <v>1573</v>
      </c>
      <c r="K550" s="84" t="str">
        <f>"00022542"</f>
        <v>00022542</v>
      </c>
    </row>
    <row r="551" spans="1:11" ht="45" customHeight="1">
      <c r="A551" s="32">
        <v>105</v>
      </c>
      <c r="B551" s="45" t="s">
        <v>1564</v>
      </c>
      <c r="C551" s="65" t="s">
        <v>38</v>
      </c>
      <c r="D551" s="66"/>
      <c r="E551" s="59">
        <v>17051</v>
      </c>
      <c r="F551" s="67">
        <v>4</v>
      </c>
      <c r="G551" s="65" t="s">
        <v>3372</v>
      </c>
      <c r="H551" s="32" t="s">
        <v>1565</v>
      </c>
      <c r="I551" s="65" t="s">
        <v>92</v>
      </c>
      <c r="J551" s="65" t="s">
        <v>1566</v>
      </c>
      <c r="K551" s="84" t="str">
        <f>"00027441"</f>
        <v>00027441</v>
      </c>
    </row>
    <row r="552" spans="1:11" ht="45" customHeight="1">
      <c r="A552" s="32">
        <v>105</v>
      </c>
      <c r="B552" s="45" t="s">
        <v>1560</v>
      </c>
      <c r="C552" s="65" t="s">
        <v>38</v>
      </c>
      <c r="D552" s="66"/>
      <c r="E552" s="59">
        <v>80896</v>
      </c>
      <c r="F552" s="67">
        <v>4</v>
      </c>
      <c r="G552" s="65" t="s">
        <v>1561</v>
      </c>
      <c r="H552" s="32" t="s">
        <v>1562</v>
      </c>
      <c r="I552" s="65" t="s">
        <v>92</v>
      </c>
      <c r="J552" s="69" t="s">
        <v>1563</v>
      </c>
      <c r="K552" s="84" t="str">
        <f>"00027502"</f>
        <v>00027502</v>
      </c>
    </row>
    <row r="553" spans="1:11" ht="45" customHeight="1">
      <c r="A553" s="32">
        <v>105</v>
      </c>
      <c r="B553" s="45" t="s">
        <v>330</v>
      </c>
      <c r="C553" s="65" t="s">
        <v>38</v>
      </c>
      <c r="D553" s="66"/>
      <c r="E553" s="59">
        <v>98107</v>
      </c>
      <c r="F553" s="67">
        <v>4</v>
      </c>
      <c r="G553" s="65" t="s">
        <v>1581</v>
      </c>
      <c r="H553" s="32" t="s">
        <v>1582</v>
      </c>
      <c r="I553" s="65" t="s">
        <v>92</v>
      </c>
      <c r="J553" s="65" t="s">
        <v>156</v>
      </c>
      <c r="K553" s="84" t="str">
        <f>"00027108"</f>
        <v>00027108</v>
      </c>
    </row>
    <row r="554" spans="1:11" ht="45" customHeight="1">
      <c r="A554" s="32">
        <v>105</v>
      </c>
      <c r="B554" s="45" t="s">
        <v>1567</v>
      </c>
      <c r="C554" s="65" t="s">
        <v>38</v>
      </c>
      <c r="D554" s="66"/>
      <c r="E554" s="59">
        <v>3620</v>
      </c>
      <c r="F554" s="67">
        <v>4</v>
      </c>
      <c r="G554" s="74" t="s">
        <v>3379</v>
      </c>
      <c r="H554" s="32" t="s">
        <v>1568</v>
      </c>
      <c r="I554" s="65" t="s">
        <v>1569</v>
      </c>
      <c r="J554" s="65" t="s">
        <v>1570</v>
      </c>
      <c r="K554" s="84" t="s">
        <v>3373</v>
      </c>
    </row>
    <row r="555" spans="1:11" ht="45" customHeight="1">
      <c r="A555" s="32">
        <v>105</v>
      </c>
      <c r="B555" s="45" t="s">
        <v>1567</v>
      </c>
      <c r="C555" s="65" t="s">
        <v>38</v>
      </c>
      <c r="D555" s="66"/>
      <c r="E555" s="59">
        <v>141567</v>
      </c>
      <c r="F555" s="67">
        <v>4</v>
      </c>
      <c r="G555" s="65" t="s">
        <v>1595</v>
      </c>
      <c r="H555" s="32" t="s">
        <v>1596</v>
      </c>
      <c r="I555" s="65" t="s">
        <v>107</v>
      </c>
      <c r="J555" s="65" t="s">
        <v>263</v>
      </c>
      <c r="K555" s="84" t="s">
        <v>3374</v>
      </c>
    </row>
    <row r="556" spans="1:11" ht="45" customHeight="1">
      <c r="A556" s="32">
        <v>105</v>
      </c>
      <c r="B556" s="45" t="s">
        <v>1564</v>
      </c>
      <c r="C556" s="65" t="s">
        <v>38</v>
      </c>
      <c r="D556" s="66"/>
      <c r="E556" s="59">
        <v>115148</v>
      </c>
      <c r="F556" s="67">
        <v>4</v>
      </c>
      <c r="G556" s="65" t="s">
        <v>3375</v>
      </c>
      <c r="H556" s="32" t="s">
        <v>1597</v>
      </c>
      <c r="I556" s="65" t="s">
        <v>532</v>
      </c>
      <c r="J556" s="65" t="s">
        <v>1598</v>
      </c>
      <c r="K556" s="84" t="str">
        <f>"00029362"</f>
        <v>00029362</v>
      </c>
    </row>
    <row r="557" spans="1:11" ht="45" customHeight="1">
      <c r="A557" s="32">
        <v>105</v>
      </c>
      <c r="B557" s="45" t="s">
        <v>333</v>
      </c>
      <c r="C557" s="65" t="s">
        <v>38</v>
      </c>
      <c r="D557" s="66"/>
      <c r="E557" s="59">
        <v>3768</v>
      </c>
      <c r="F557" s="67">
        <v>4</v>
      </c>
      <c r="G557" s="65" t="s">
        <v>3376</v>
      </c>
      <c r="H557" s="32" t="s">
        <v>1594</v>
      </c>
      <c r="I557" s="65" t="s">
        <v>104</v>
      </c>
      <c r="J557" s="65" t="s">
        <v>377</v>
      </c>
      <c r="K557" s="84" t="str">
        <f>"00029075"</f>
        <v>00029075</v>
      </c>
    </row>
    <row r="558" spans="1:11" ht="45" customHeight="1">
      <c r="A558" s="32">
        <v>105</v>
      </c>
      <c r="B558" s="45" t="s">
        <v>52</v>
      </c>
      <c r="C558" s="65" t="s">
        <v>38</v>
      </c>
      <c r="D558" s="66"/>
      <c r="E558" s="59">
        <v>61154</v>
      </c>
      <c r="F558" s="67">
        <v>4</v>
      </c>
      <c r="G558" s="71" t="s">
        <v>3380</v>
      </c>
      <c r="H558" s="32" t="s">
        <v>1587</v>
      </c>
      <c r="I558" s="71" t="s">
        <v>1588</v>
      </c>
      <c r="J558" s="70" t="s">
        <v>1589</v>
      </c>
      <c r="K558" s="84" t="str">
        <f>"00028190"</f>
        <v>00028190</v>
      </c>
    </row>
    <row r="559" spans="1:11" ht="45" customHeight="1">
      <c r="A559" s="32">
        <v>105</v>
      </c>
      <c r="B559" s="45" t="s">
        <v>331</v>
      </c>
      <c r="C559" s="65" t="s">
        <v>38</v>
      </c>
      <c r="D559" s="66"/>
      <c r="E559" s="59">
        <v>59172</v>
      </c>
      <c r="F559" s="67">
        <v>4</v>
      </c>
      <c r="G559" s="65" t="s">
        <v>1590</v>
      </c>
      <c r="H559" s="32" t="s">
        <v>1278</v>
      </c>
      <c r="I559" s="65" t="s">
        <v>107</v>
      </c>
      <c r="J559" s="65" t="s">
        <v>1591</v>
      </c>
      <c r="K559" s="84" t="str">
        <f>"00028167"</f>
        <v>00028167</v>
      </c>
    </row>
    <row r="560" spans="1:11" ht="45" customHeight="1">
      <c r="A560" s="32">
        <v>105</v>
      </c>
      <c r="B560" s="45" t="s">
        <v>1583</v>
      </c>
      <c r="C560" s="65" t="s">
        <v>38</v>
      </c>
      <c r="D560" s="66"/>
      <c r="E560" s="59">
        <v>150000</v>
      </c>
      <c r="F560" s="67">
        <v>4</v>
      </c>
      <c r="G560" s="65" t="s">
        <v>1584</v>
      </c>
      <c r="H560" s="32" t="s">
        <v>1585</v>
      </c>
      <c r="I560" s="65" t="s">
        <v>267</v>
      </c>
      <c r="J560" s="69" t="s">
        <v>1586</v>
      </c>
      <c r="K560" s="84" t="str">
        <f>"00029343"</f>
        <v>00029343</v>
      </c>
    </row>
    <row r="561" spans="1:11" ht="45" customHeight="1">
      <c r="A561" s="32">
        <v>105</v>
      </c>
      <c r="B561" s="45" t="s">
        <v>333</v>
      </c>
      <c r="C561" s="65" t="s">
        <v>38</v>
      </c>
      <c r="D561" s="66"/>
      <c r="E561" s="59">
        <v>21230</v>
      </c>
      <c r="F561" s="67">
        <v>4</v>
      </c>
      <c r="G561" s="65" t="s">
        <v>1600</v>
      </c>
      <c r="H561" s="32" t="s">
        <v>1601</v>
      </c>
      <c r="I561" s="65" t="s">
        <v>92</v>
      </c>
      <c r="J561" s="65" t="s">
        <v>325</v>
      </c>
      <c r="K561" s="84" t="str">
        <f>"00030009"</f>
        <v>00030009</v>
      </c>
    </row>
    <row r="562" spans="1:11" ht="45" customHeight="1">
      <c r="A562" s="32">
        <v>105</v>
      </c>
      <c r="B562" s="45" t="s">
        <v>331</v>
      </c>
      <c r="C562" s="65" t="s">
        <v>38</v>
      </c>
      <c r="D562" s="66"/>
      <c r="E562" s="59">
        <v>72096</v>
      </c>
      <c r="F562" s="67">
        <v>4</v>
      </c>
      <c r="G562" s="65" t="s">
        <v>1602</v>
      </c>
      <c r="H562" s="32" t="s">
        <v>1603</v>
      </c>
      <c r="I562" s="65" t="s">
        <v>107</v>
      </c>
      <c r="J562" s="65" t="s">
        <v>184</v>
      </c>
      <c r="K562" s="84" t="str">
        <f>"00030144"</f>
        <v>00030144</v>
      </c>
    </row>
    <row r="563" spans="1:11" ht="45" customHeight="1">
      <c r="A563" s="32">
        <v>105</v>
      </c>
      <c r="B563" s="45" t="s">
        <v>332</v>
      </c>
      <c r="C563" s="65" t="s">
        <v>38</v>
      </c>
      <c r="D563" s="66"/>
      <c r="E563" s="59">
        <v>103017</v>
      </c>
      <c r="F563" s="67">
        <v>4</v>
      </c>
      <c r="G563" s="65" t="s">
        <v>1599</v>
      </c>
      <c r="H563" s="32" t="s">
        <v>809</v>
      </c>
      <c r="I563" s="65" t="s">
        <v>177</v>
      </c>
      <c r="J563" s="65" t="s">
        <v>1593</v>
      </c>
      <c r="K563" s="84" t="str">
        <f>"00030413"</f>
        <v>00030413</v>
      </c>
    </row>
    <row r="564" spans="1:11" ht="45" customHeight="1">
      <c r="A564" s="32">
        <v>105</v>
      </c>
      <c r="B564" s="45" t="s">
        <v>1550</v>
      </c>
      <c r="C564" s="65" t="s">
        <v>38</v>
      </c>
      <c r="D564" s="66"/>
      <c r="E564" s="59">
        <v>31369</v>
      </c>
      <c r="F564" s="67">
        <v>4</v>
      </c>
      <c r="G564" s="65" t="s">
        <v>1556</v>
      </c>
      <c r="H564" s="32" t="s">
        <v>1557</v>
      </c>
      <c r="I564" s="70" t="s">
        <v>1558</v>
      </c>
      <c r="J564" s="65" t="s">
        <v>1559</v>
      </c>
      <c r="K564" s="84" t="str">
        <f>"00029963"</f>
        <v>00029963</v>
      </c>
    </row>
    <row r="565" spans="1:11" ht="45" customHeight="1">
      <c r="A565" s="32">
        <v>105</v>
      </c>
      <c r="B565" s="45" t="s">
        <v>330</v>
      </c>
      <c r="C565" s="65" t="s">
        <v>38</v>
      </c>
      <c r="D565" s="66"/>
      <c r="E565" s="59">
        <v>112315</v>
      </c>
      <c r="F565" s="67">
        <v>4</v>
      </c>
      <c r="G565" s="65" t="s">
        <v>1554</v>
      </c>
      <c r="H565" s="32" t="s">
        <v>1555</v>
      </c>
      <c r="I565" s="65" t="s">
        <v>91</v>
      </c>
      <c r="J565" s="65" t="s">
        <v>317</v>
      </c>
      <c r="K565" s="84" t="str">
        <f>"00031615"</f>
        <v>00031615</v>
      </c>
    </row>
    <row r="566" spans="1:11" ht="45" customHeight="1">
      <c r="A566" s="32">
        <v>105</v>
      </c>
      <c r="B566" s="45" t="s">
        <v>1567</v>
      </c>
      <c r="C566" s="65" t="s">
        <v>38</v>
      </c>
      <c r="D566" s="66"/>
      <c r="E566" s="59">
        <v>108489</v>
      </c>
      <c r="F566" s="67">
        <v>4</v>
      </c>
      <c r="G566" s="65" t="s">
        <v>1592</v>
      </c>
      <c r="H566" s="32" t="s">
        <v>814</v>
      </c>
      <c r="I566" s="65" t="s">
        <v>177</v>
      </c>
      <c r="J566" s="65" t="s">
        <v>1593</v>
      </c>
      <c r="K566" s="84" t="s">
        <v>3377</v>
      </c>
    </row>
    <row r="567" spans="1:11" ht="45" customHeight="1">
      <c r="A567" s="32">
        <v>105</v>
      </c>
      <c r="B567" s="45" t="s">
        <v>1550</v>
      </c>
      <c r="C567" s="65" t="s">
        <v>38</v>
      </c>
      <c r="D567" s="66"/>
      <c r="E567" s="59">
        <v>213583</v>
      </c>
      <c r="F567" s="67">
        <v>4</v>
      </c>
      <c r="G567" s="69" t="s">
        <v>1551</v>
      </c>
      <c r="H567" s="32" t="s">
        <v>1552</v>
      </c>
      <c r="I567" s="65" t="s">
        <v>107</v>
      </c>
      <c r="J567" s="69" t="s">
        <v>1553</v>
      </c>
      <c r="K567" s="84" t="str">
        <f>"00030902"</f>
        <v>00030902</v>
      </c>
    </row>
    <row r="568" spans="1:11" ht="45" customHeight="1">
      <c r="A568" s="32">
        <v>105</v>
      </c>
      <c r="B568" s="45" t="s">
        <v>1574</v>
      </c>
      <c r="C568" s="65" t="s">
        <v>38</v>
      </c>
      <c r="D568" s="66"/>
      <c r="E568" s="59">
        <v>69892</v>
      </c>
      <c r="F568" s="67">
        <v>4</v>
      </c>
      <c r="G568" s="65" t="s">
        <v>3378</v>
      </c>
      <c r="H568" s="32" t="s">
        <v>1578</v>
      </c>
      <c r="I568" s="65" t="s">
        <v>1579</v>
      </c>
      <c r="J568" s="70" t="s">
        <v>1580</v>
      </c>
      <c r="K568" s="84" t="str">
        <f>"00031405"</f>
        <v>00031405</v>
      </c>
    </row>
    <row r="569" spans="1:11" ht="45" customHeight="1">
      <c r="A569" s="32">
        <v>105</v>
      </c>
      <c r="B569" s="45" t="s">
        <v>1547</v>
      </c>
      <c r="C569" s="65" t="s">
        <v>38</v>
      </c>
      <c r="D569" s="66"/>
      <c r="E569" s="59">
        <v>41820</v>
      </c>
      <c r="F569" s="67">
        <v>4</v>
      </c>
      <c r="G569" s="65" t="s">
        <v>1548</v>
      </c>
      <c r="H569" s="32" t="s">
        <v>1549</v>
      </c>
      <c r="I569" s="65" t="s">
        <v>92</v>
      </c>
      <c r="J569" s="65" t="s">
        <v>200</v>
      </c>
      <c r="K569" s="84" t="str">
        <f>"00029443"</f>
        <v>00029443</v>
      </c>
    </row>
    <row r="570" spans="1:11" ht="45" customHeight="1">
      <c r="A570" s="32">
        <v>105</v>
      </c>
      <c r="B570" s="45" t="s">
        <v>335</v>
      </c>
      <c r="C570" s="65" t="s">
        <v>38</v>
      </c>
      <c r="D570" s="66"/>
      <c r="E570" s="59">
        <v>78562</v>
      </c>
      <c r="F570" s="67">
        <v>4</v>
      </c>
      <c r="G570" s="65" t="s">
        <v>1604</v>
      </c>
      <c r="H570" s="32" t="s">
        <v>1605</v>
      </c>
      <c r="I570" s="65" t="s">
        <v>177</v>
      </c>
      <c r="J570" s="65" t="s">
        <v>1606</v>
      </c>
      <c r="K570" s="84" t="str">
        <f>"00032423"</f>
        <v>00032423</v>
      </c>
    </row>
    <row r="571" spans="1:11" ht="45" customHeight="1">
      <c r="A571" s="32">
        <v>105</v>
      </c>
      <c r="B571" s="45" t="s">
        <v>1607</v>
      </c>
      <c r="C571" s="65" t="s">
        <v>38</v>
      </c>
      <c r="D571" s="66"/>
      <c r="E571" s="59">
        <v>27475</v>
      </c>
      <c r="F571" s="67">
        <v>4</v>
      </c>
      <c r="G571" s="65" t="s">
        <v>1608</v>
      </c>
      <c r="H571" s="32" t="s">
        <v>1609</v>
      </c>
      <c r="I571" s="65" t="s">
        <v>100</v>
      </c>
      <c r="J571" s="65" t="s">
        <v>101</v>
      </c>
      <c r="K571" s="84" t="str">
        <f>"00032604"</f>
        <v>00032604</v>
      </c>
    </row>
    <row r="572" spans="1:11" ht="45" customHeight="1">
      <c r="A572" s="32">
        <v>105</v>
      </c>
      <c r="B572" s="45" t="s">
        <v>1610</v>
      </c>
      <c r="C572" s="65" t="s">
        <v>38</v>
      </c>
      <c r="D572" s="66"/>
      <c r="E572" s="59">
        <v>112288</v>
      </c>
      <c r="F572" s="67">
        <v>4</v>
      </c>
      <c r="G572" s="65" t="s">
        <v>1612</v>
      </c>
      <c r="H572" s="32" t="s">
        <v>1613</v>
      </c>
      <c r="I572" s="65" t="s">
        <v>96</v>
      </c>
      <c r="J572" s="65" t="s">
        <v>1614</v>
      </c>
      <c r="K572" s="84" t="str">
        <f>"00031505"</f>
        <v>00031505</v>
      </c>
    </row>
    <row r="573" spans="1:11" ht="45" customHeight="1">
      <c r="A573" s="32">
        <v>105</v>
      </c>
      <c r="B573" s="45" t="s">
        <v>1610</v>
      </c>
      <c r="C573" s="65" t="s">
        <v>38</v>
      </c>
      <c r="D573" s="66"/>
      <c r="E573" s="59">
        <v>18106</v>
      </c>
      <c r="F573" s="67">
        <v>4</v>
      </c>
      <c r="G573" s="65" t="s">
        <v>1611</v>
      </c>
      <c r="H573" s="32" t="s">
        <v>1609</v>
      </c>
      <c r="I573" s="65" t="s">
        <v>100</v>
      </c>
      <c r="J573" s="65" t="s">
        <v>101</v>
      </c>
      <c r="K573" s="84" t="str">
        <f>"00032990"</f>
        <v>00032990</v>
      </c>
    </row>
    <row r="574" spans="1:11" ht="45" customHeight="1">
      <c r="A574" s="32">
        <v>105</v>
      </c>
      <c r="B574" s="45" t="s">
        <v>1615</v>
      </c>
      <c r="C574" s="65" t="s">
        <v>38</v>
      </c>
      <c r="D574" s="66"/>
      <c r="E574" s="59">
        <v>56478</v>
      </c>
      <c r="F574" s="67">
        <v>4</v>
      </c>
      <c r="G574" s="70" t="s">
        <v>3382</v>
      </c>
      <c r="H574" s="32" t="s">
        <v>1616</v>
      </c>
      <c r="I574" s="65" t="s">
        <v>107</v>
      </c>
      <c r="J574" s="65" t="s">
        <v>1617</v>
      </c>
      <c r="K574" s="84" t="s">
        <v>3381</v>
      </c>
    </row>
    <row r="575" spans="1:11" ht="45" customHeight="1">
      <c r="A575" s="32">
        <v>105</v>
      </c>
      <c r="B575" s="51" t="s">
        <v>1584</v>
      </c>
      <c r="C575" s="65" t="s">
        <v>38</v>
      </c>
      <c r="D575" s="66"/>
      <c r="E575" s="59">
        <v>23874</v>
      </c>
      <c r="F575" s="67">
        <v>4</v>
      </c>
      <c r="G575" s="70" t="s">
        <v>3392</v>
      </c>
      <c r="H575" s="32" t="s">
        <v>1585</v>
      </c>
      <c r="I575" s="65" t="s">
        <v>267</v>
      </c>
      <c r="J575" s="69" t="s">
        <v>1586</v>
      </c>
      <c r="K575" s="84" t="str">
        <f>"00029343"</f>
        <v>00029343</v>
      </c>
    </row>
    <row r="576" spans="1:11" ht="45" customHeight="1">
      <c r="A576" s="32">
        <v>105</v>
      </c>
      <c r="B576" s="45" t="s">
        <v>3383</v>
      </c>
      <c r="C576" s="65" t="s">
        <v>38</v>
      </c>
      <c r="D576" s="66"/>
      <c r="E576" s="59">
        <v>14944</v>
      </c>
      <c r="F576" s="67">
        <v>4</v>
      </c>
      <c r="G576" s="69" t="s">
        <v>3393</v>
      </c>
      <c r="H576" s="32" t="s">
        <v>3384</v>
      </c>
      <c r="I576" s="65" t="s">
        <v>92</v>
      </c>
      <c r="J576" s="65" t="s">
        <v>200</v>
      </c>
      <c r="K576" s="84" t="str">
        <f>"00031696"</f>
        <v>00031696</v>
      </c>
    </row>
    <row r="577" spans="1:11" ht="45" customHeight="1">
      <c r="A577" s="32">
        <v>105</v>
      </c>
      <c r="B577" s="45" t="s">
        <v>3385</v>
      </c>
      <c r="C577" s="65" t="s">
        <v>38</v>
      </c>
      <c r="D577" s="66"/>
      <c r="E577" s="59">
        <v>5002</v>
      </c>
      <c r="F577" s="67">
        <v>4</v>
      </c>
      <c r="G577" s="70" t="s">
        <v>3394</v>
      </c>
      <c r="H577" s="32" t="s">
        <v>1609</v>
      </c>
      <c r="I577" s="65" t="s">
        <v>392</v>
      </c>
      <c r="J577" s="65" t="s">
        <v>393</v>
      </c>
      <c r="K577" s="84" t="str">
        <f>"00032891"</f>
        <v>00032891</v>
      </c>
    </row>
    <row r="578" spans="1:11" ht="45" customHeight="1">
      <c r="A578" s="32">
        <v>105</v>
      </c>
      <c r="B578" s="45" t="s">
        <v>3386</v>
      </c>
      <c r="C578" s="65" t="s">
        <v>38</v>
      </c>
      <c r="D578" s="66"/>
      <c r="E578" s="59">
        <v>17691</v>
      </c>
      <c r="F578" s="67">
        <v>4</v>
      </c>
      <c r="G578" s="72" t="s">
        <v>3395</v>
      </c>
      <c r="H578" s="32" t="s">
        <v>3387</v>
      </c>
      <c r="I578" s="65" t="s">
        <v>92</v>
      </c>
      <c r="J578" s="65" t="s">
        <v>3388</v>
      </c>
      <c r="K578" s="84" t="str">
        <f>"00029344"</f>
        <v>00029344</v>
      </c>
    </row>
    <row r="579" spans="1:11" ht="45" customHeight="1">
      <c r="A579" s="32">
        <v>105</v>
      </c>
      <c r="B579" s="45" t="s">
        <v>3389</v>
      </c>
      <c r="C579" s="65" t="s">
        <v>38</v>
      </c>
      <c r="D579" s="66"/>
      <c r="E579" s="59">
        <v>29153</v>
      </c>
      <c r="F579" s="67">
        <v>4</v>
      </c>
      <c r="G579" s="70" t="s">
        <v>3396</v>
      </c>
      <c r="H579" s="32" t="s">
        <v>3390</v>
      </c>
      <c r="I579" s="65" t="s">
        <v>92</v>
      </c>
      <c r="J579" s="65" t="s">
        <v>3391</v>
      </c>
      <c r="K579" s="84" t="str">
        <f>"00032433"</f>
        <v>00032433</v>
      </c>
    </row>
    <row r="580" spans="1:11" ht="45" customHeight="1">
      <c r="A580" s="30"/>
      <c r="B580" s="58" t="s">
        <v>205</v>
      </c>
      <c r="C580" s="45"/>
      <c r="D580" s="46"/>
      <c r="E580" s="47">
        <f>SUM(E547:E579)</f>
        <v>2173109</v>
      </c>
      <c r="F580" s="48"/>
      <c r="G580" s="49"/>
      <c r="H580" s="30"/>
      <c r="I580" s="45"/>
      <c r="J580" s="45"/>
      <c r="K580" s="50"/>
    </row>
    <row r="581" spans="1:11" ht="45" customHeight="1">
      <c r="A581" s="30"/>
      <c r="B581" s="60" t="s">
        <v>711</v>
      </c>
      <c r="C581" s="45"/>
      <c r="D581" s="46"/>
      <c r="E581" s="47"/>
      <c r="F581" s="48"/>
      <c r="G581" s="49"/>
      <c r="H581" s="30"/>
      <c r="I581" s="45"/>
      <c r="J581" s="45"/>
      <c r="K581" s="50"/>
    </row>
    <row r="582" spans="1:11" ht="45" customHeight="1">
      <c r="A582" s="32">
        <v>105</v>
      </c>
      <c r="B582" s="51" t="s">
        <v>1710</v>
      </c>
      <c r="C582" s="65" t="s">
        <v>38</v>
      </c>
      <c r="D582" s="66"/>
      <c r="E582" s="59">
        <v>95368</v>
      </c>
      <c r="F582" s="67">
        <v>4</v>
      </c>
      <c r="G582" s="65" t="s">
        <v>1711</v>
      </c>
      <c r="H582" s="32" t="s">
        <v>958</v>
      </c>
      <c r="I582" s="65" t="s">
        <v>107</v>
      </c>
      <c r="J582" s="65" t="s">
        <v>647</v>
      </c>
      <c r="K582" s="85" t="s">
        <v>3410</v>
      </c>
    </row>
    <row r="583" spans="1:11" ht="45" customHeight="1">
      <c r="A583" s="32">
        <v>105</v>
      </c>
      <c r="B583" s="45" t="s">
        <v>1667</v>
      </c>
      <c r="C583" s="65" t="s">
        <v>38</v>
      </c>
      <c r="D583" s="66"/>
      <c r="E583" s="59">
        <v>74617</v>
      </c>
      <c r="F583" s="67">
        <v>4</v>
      </c>
      <c r="G583" s="65" t="s">
        <v>1708</v>
      </c>
      <c r="H583" s="32" t="s">
        <v>1709</v>
      </c>
      <c r="I583" s="65" t="s">
        <v>92</v>
      </c>
      <c r="J583" s="65" t="s">
        <v>325</v>
      </c>
      <c r="K583" s="85" t="s">
        <v>3411</v>
      </c>
    </row>
    <row r="584" spans="1:11" ht="45" customHeight="1">
      <c r="A584" s="32">
        <v>105</v>
      </c>
      <c r="B584" s="45" t="s">
        <v>701</v>
      </c>
      <c r="C584" s="65" t="s">
        <v>38</v>
      </c>
      <c r="D584" s="66"/>
      <c r="E584" s="59">
        <v>48612</v>
      </c>
      <c r="F584" s="67">
        <v>4</v>
      </c>
      <c r="G584" s="65" t="s">
        <v>1712</v>
      </c>
      <c r="H584" s="32" t="s">
        <v>1713</v>
      </c>
      <c r="I584" s="65" t="s">
        <v>92</v>
      </c>
      <c r="J584" s="65" t="s">
        <v>156</v>
      </c>
      <c r="K584" s="84" t="str">
        <f>"00027980"</f>
        <v>00027980</v>
      </c>
    </row>
    <row r="585" spans="1:11" ht="45" customHeight="1">
      <c r="A585" s="32">
        <v>105</v>
      </c>
      <c r="B585" s="45" t="s">
        <v>1714</v>
      </c>
      <c r="C585" s="65" t="s">
        <v>38</v>
      </c>
      <c r="D585" s="66"/>
      <c r="E585" s="59">
        <v>90000</v>
      </c>
      <c r="F585" s="67">
        <v>4</v>
      </c>
      <c r="G585" s="69" t="s">
        <v>1715</v>
      </c>
      <c r="H585" s="32" t="s">
        <v>1716</v>
      </c>
      <c r="I585" s="65" t="s">
        <v>107</v>
      </c>
      <c r="J585" s="65" t="s">
        <v>253</v>
      </c>
      <c r="K585" s="85" t="s">
        <v>3412</v>
      </c>
    </row>
    <row r="586" spans="1:11" ht="45" customHeight="1">
      <c r="A586" s="32">
        <v>105</v>
      </c>
      <c r="B586" s="45" t="s">
        <v>700</v>
      </c>
      <c r="C586" s="65" t="s">
        <v>38</v>
      </c>
      <c r="D586" s="66"/>
      <c r="E586" s="59">
        <v>90000</v>
      </c>
      <c r="F586" s="67">
        <v>4</v>
      </c>
      <c r="G586" s="65" t="s">
        <v>1723</v>
      </c>
      <c r="H586" s="32" t="s">
        <v>1724</v>
      </c>
      <c r="I586" s="65" t="s">
        <v>107</v>
      </c>
      <c r="J586" s="70" t="s">
        <v>109</v>
      </c>
      <c r="K586" s="85" t="s">
        <v>3413</v>
      </c>
    </row>
    <row r="587" spans="1:11" ht="45" customHeight="1">
      <c r="A587" s="32">
        <v>105</v>
      </c>
      <c r="B587" s="45" t="s">
        <v>698</v>
      </c>
      <c r="C587" s="65" t="s">
        <v>38</v>
      </c>
      <c r="D587" s="66"/>
      <c r="E587" s="59">
        <v>91286</v>
      </c>
      <c r="F587" s="67">
        <v>4</v>
      </c>
      <c r="G587" s="65" t="s">
        <v>1721</v>
      </c>
      <c r="H587" s="32" t="s">
        <v>1722</v>
      </c>
      <c r="I587" s="65" t="s">
        <v>107</v>
      </c>
      <c r="J587" s="65" t="s">
        <v>302</v>
      </c>
      <c r="K587" s="85" t="s">
        <v>3414</v>
      </c>
    </row>
    <row r="588" spans="1:11" ht="45" customHeight="1">
      <c r="A588" s="32">
        <v>105</v>
      </c>
      <c r="B588" s="45" t="s">
        <v>701</v>
      </c>
      <c r="C588" s="65" t="s">
        <v>38</v>
      </c>
      <c r="D588" s="66"/>
      <c r="E588" s="59">
        <v>71539</v>
      </c>
      <c r="F588" s="67">
        <v>4</v>
      </c>
      <c r="G588" s="65" t="s">
        <v>1706</v>
      </c>
      <c r="H588" s="32" t="s">
        <v>1707</v>
      </c>
      <c r="I588" s="65" t="s">
        <v>104</v>
      </c>
      <c r="J588" s="65" t="s">
        <v>176</v>
      </c>
      <c r="K588" s="85" t="s">
        <v>3415</v>
      </c>
    </row>
    <row r="589" spans="1:11" ht="45" customHeight="1">
      <c r="A589" s="32">
        <v>105</v>
      </c>
      <c r="B589" s="76" t="s">
        <v>705</v>
      </c>
      <c r="C589" s="65" t="s">
        <v>38</v>
      </c>
      <c r="D589" s="66"/>
      <c r="E589" s="59">
        <v>43346</v>
      </c>
      <c r="F589" s="67">
        <v>4</v>
      </c>
      <c r="G589" s="65" t="s">
        <v>1717</v>
      </c>
      <c r="H589" s="32" t="s">
        <v>1718</v>
      </c>
      <c r="I589" s="65" t="s">
        <v>92</v>
      </c>
      <c r="J589" s="65" t="s">
        <v>156</v>
      </c>
      <c r="K589" s="85" t="s">
        <v>3416</v>
      </c>
    </row>
    <row r="590" spans="1:11" ht="45" customHeight="1">
      <c r="A590" s="32">
        <v>105</v>
      </c>
      <c r="B590" s="45" t="s">
        <v>704</v>
      </c>
      <c r="C590" s="65" t="s">
        <v>38</v>
      </c>
      <c r="D590" s="66"/>
      <c r="E590" s="59">
        <v>34000</v>
      </c>
      <c r="F590" s="67">
        <v>4</v>
      </c>
      <c r="G590" s="65" t="s">
        <v>1673</v>
      </c>
      <c r="H590" s="32" t="s">
        <v>1674</v>
      </c>
      <c r="I590" s="65" t="s">
        <v>120</v>
      </c>
      <c r="J590" s="65" t="s">
        <v>120</v>
      </c>
      <c r="K590" s="85" t="s">
        <v>3417</v>
      </c>
    </row>
    <row r="591" spans="1:11" ht="45" customHeight="1">
      <c r="A591" s="32">
        <v>105</v>
      </c>
      <c r="B591" s="76" t="s">
        <v>1650</v>
      </c>
      <c r="C591" s="65" t="s">
        <v>38</v>
      </c>
      <c r="D591" s="66"/>
      <c r="E591" s="59">
        <v>89130</v>
      </c>
      <c r="F591" s="67">
        <v>4</v>
      </c>
      <c r="G591" s="65" t="s">
        <v>1719</v>
      </c>
      <c r="H591" s="32" t="s">
        <v>1720</v>
      </c>
      <c r="I591" s="65" t="s">
        <v>533</v>
      </c>
      <c r="J591" s="65" t="s">
        <v>1511</v>
      </c>
      <c r="K591" s="85" t="s">
        <v>3418</v>
      </c>
    </row>
    <row r="592" spans="1:11" ht="45" customHeight="1">
      <c r="A592" s="32">
        <v>105</v>
      </c>
      <c r="B592" s="45" t="s">
        <v>703</v>
      </c>
      <c r="C592" s="65" t="s">
        <v>38</v>
      </c>
      <c r="D592" s="66"/>
      <c r="E592" s="59">
        <v>33041</v>
      </c>
      <c r="F592" s="67">
        <v>4</v>
      </c>
      <c r="G592" s="65" t="s">
        <v>1645</v>
      </c>
      <c r="H592" s="32" t="s">
        <v>1646</v>
      </c>
      <c r="I592" s="65" t="s">
        <v>92</v>
      </c>
      <c r="J592" s="65" t="s">
        <v>1647</v>
      </c>
      <c r="K592" s="84" t="str">
        <f>"00028450"</f>
        <v>00028450</v>
      </c>
    </row>
    <row r="593" spans="1:11" ht="45" customHeight="1">
      <c r="A593" s="32">
        <v>105</v>
      </c>
      <c r="B593" s="45" t="s">
        <v>1662</v>
      </c>
      <c r="C593" s="65" t="s">
        <v>38</v>
      </c>
      <c r="D593" s="66"/>
      <c r="E593" s="59">
        <v>98487</v>
      </c>
      <c r="F593" s="67">
        <v>4</v>
      </c>
      <c r="G593" s="65" t="s">
        <v>1655</v>
      </c>
      <c r="H593" s="32" t="s">
        <v>1659</v>
      </c>
      <c r="I593" s="65" t="s">
        <v>107</v>
      </c>
      <c r="J593" s="65" t="s">
        <v>1663</v>
      </c>
      <c r="K593" s="85" t="s">
        <v>3726</v>
      </c>
    </row>
    <row r="594" spans="1:11" ht="45" customHeight="1">
      <c r="A594" s="32">
        <v>105</v>
      </c>
      <c r="B594" s="45" t="s">
        <v>1664</v>
      </c>
      <c r="C594" s="65" t="s">
        <v>38</v>
      </c>
      <c r="D594" s="66"/>
      <c r="E594" s="59">
        <v>109949</v>
      </c>
      <c r="F594" s="67">
        <v>4</v>
      </c>
      <c r="G594" s="65" t="s">
        <v>1665</v>
      </c>
      <c r="H594" s="32" t="s">
        <v>1666</v>
      </c>
      <c r="I594" s="65" t="s">
        <v>107</v>
      </c>
      <c r="J594" s="65" t="s">
        <v>708</v>
      </c>
      <c r="K594" s="85" t="s">
        <v>3727</v>
      </c>
    </row>
    <row r="595" spans="1:11" ht="45" customHeight="1">
      <c r="A595" s="32">
        <v>105</v>
      </c>
      <c r="B595" s="45" t="s">
        <v>1667</v>
      </c>
      <c r="C595" s="65" t="s">
        <v>38</v>
      </c>
      <c r="D595" s="66"/>
      <c r="E595" s="59">
        <v>81098</v>
      </c>
      <c r="F595" s="67">
        <v>4</v>
      </c>
      <c r="G595" s="65" t="s">
        <v>1668</v>
      </c>
      <c r="H595" s="32" t="s">
        <v>1669</v>
      </c>
      <c r="I595" s="65" t="s">
        <v>107</v>
      </c>
      <c r="J595" s="65" t="s">
        <v>1670</v>
      </c>
      <c r="K595" s="85" t="s">
        <v>3728</v>
      </c>
    </row>
    <row r="596" spans="1:11" ht="45" customHeight="1">
      <c r="A596" s="32">
        <v>105</v>
      </c>
      <c r="B596" s="49" t="s">
        <v>1675</v>
      </c>
      <c r="C596" s="65" t="s">
        <v>38</v>
      </c>
      <c r="D596" s="66"/>
      <c r="E596" s="59">
        <v>54536</v>
      </c>
      <c r="F596" s="67">
        <v>4</v>
      </c>
      <c r="G596" s="65" t="s">
        <v>1676</v>
      </c>
      <c r="H596" s="32" t="s">
        <v>1677</v>
      </c>
      <c r="I596" s="65" t="s">
        <v>100</v>
      </c>
      <c r="J596" s="65" t="s">
        <v>635</v>
      </c>
      <c r="K596" s="85" t="s">
        <v>3729</v>
      </c>
    </row>
    <row r="597" spans="1:11" ht="45" customHeight="1">
      <c r="A597" s="32">
        <v>105</v>
      </c>
      <c r="B597" s="45" t="s">
        <v>706</v>
      </c>
      <c r="C597" s="65" t="s">
        <v>38</v>
      </c>
      <c r="D597" s="66"/>
      <c r="E597" s="59">
        <v>53652</v>
      </c>
      <c r="F597" s="67">
        <v>4</v>
      </c>
      <c r="G597" s="65" t="s">
        <v>1678</v>
      </c>
      <c r="H597" s="32" t="s">
        <v>1679</v>
      </c>
      <c r="I597" s="65" t="s">
        <v>107</v>
      </c>
      <c r="J597" s="65" t="s">
        <v>1680</v>
      </c>
      <c r="K597" s="85" t="s">
        <v>3730</v>
      </c>
    </row>
    <row r="598" spans="1:11" ht="45" customHeight="1">
      <c r="A598" s="32">
        <v>105</v>
      </c>
      <c r="B598" s="45" t="s">
        <v>1692</v>
      </c>
      <c r="C598" s="65" t="s">
        <v>38</v>
      </c>
      <c r="D598" s="66"/>
      <c r="E598" s="59">
        <v>100000</v>
      </c>
      <c r="F598" s="67">
        <v>4</v>
      </c>
      <c r="G598" s="65" t="s">
        <v>1693</v>
      </c>
      <c r="H598" s="32" t="s">
        <v>1694</v>
      </c>
      <c r="I598" s="65" t="s">
        <v>107</v>
      </c>
      <c r="J598" s="65" t="s">
        <v>166</v>
      </c>
      <c r="K598" s="84" t="str">
        <f>"00030211"</f>
        <v>00030211</v>
      </c>
    </row>
    <row r="599" spans="1:11" ht="45" customHeight="1">
      <c r="A599" s="32">
        <v>105</v>
      </c>
      <c r="B599" s="76" t="s">
        <v>707</v>
      </c>
      <c r="C599" s="65" t="s">
        <v>38</v>
      </c>
      <c r="D599" s="66"/>
      <c r="E599" s="59">
        <v>24950</v>
      </c>
      <c r="F599" s="67">
        <v>4</v>
      </c>
      <c r="G599" s="65" t="s">
        <v>1660</v>
      </c>
      <c r="H599" s="32" t="s">
        <v>1661</v>
      </c>
      <c r="I599" s="65" t="s">
        <v>92</v>
      </c>
      <c r="J599" s="65" t="s">
        <v>691</v>
      </c>
      <c r="K599" s="85" t="s">
        <v>3721</v>
      </c>
    </row>
    <row r="600" spans="1:11" ht="45" customHeight="1">
      <c r="A600" s="32">
        <v>105</v>
      </c>
      <c r="B600" s="51" t="s">
        <v>1648</v>
      </c>
      <c r="C600" s="65" t="s">
        <v>38</v>
      </c>
      <c r="D600" s="66"/>
      <c r="E600" s="59">
        <v>50000</v>
      </c>
      <c r="F600" s="67">
        <v>4</v>
      </c>
      <c r="G600" s="65" t="s">
        <v>1649</v>
      </c>
      <c r="H600" s="32" t="s">
        <v>1619</v>
      </c>
      <c r="I600" s="65" t="s">
        <v>100</v>
      </c>
      <c r="J600" s="65" t="s">
        <v>101</v>
      </c>
      <c r="K600" s="85" t="s">
        <v>3722</v>
      </c>
    </row>
    <row r="601" spans="1:11" ht="45" customHeight="1">
      <c r="A601" s="32">
        <v>105</v>
      </c>
      <c r="B601" s="45" t="s">
        <v>703</v>
      </c>
      <c r="C601" s="65" t="s">
        <v>38</v>
      </c>
      <c r="D601" s="66"/>
      <c r="E601" s="59">
        <v>89352</v>
      </c>
      <c r="F601" s="67">
        <v>4</v>
      </c>
      <c r="G601" s="65" t="s">
        <v>1655</v>
      </c>
      <c r="H601" s="32" t="s">
        <v>1659</v>
      </c>
      <c r="I601" s="65" t="s">
        <v>107</v>
      </c>
      <c r="J601" s="65" t="s">
        <v>1657</v>
      </c>
      <c r="K601" s="85" t="s">
        <v>3723</v>
      </c>
    </row>
    <row r="602" spans="1:11" ht="45" customHeight="1">
      <c r="A602" s="32">
        <v>105</v>
      </c>
      <c r="B602" s="76" t="s">
        <v>1650</v>
      </c>
      <c r="C602" s="65" t="s">
        <v>38</v>
      </c>
      <c r="D602" s="66"/>
      <c r="E602" s="59">
        <v>104244</v>
      </c>
      <c r="F602" s="67">
        <v>4</v>
      </c>
      <c r="G602" s="65" t="s">
        <v>1651</v>
      </c>
      <c r="H602" s="32" t="s">
        <v>1652</v>
      </c>
      <c r="I602" s="65" t="s">
        <v>387</v>
      </c>
      <c r="J602" s="65" t="s">
        <v>1653</v>
      </c>
      <c r="K602" s="85" t="s">
        <v>3724</v>
      </c>
    </row>
    <row r="603" spans="1:11" ht="45" customHeight="1">
      <c r="A603" s="32">
        <v>105</v>
      </c>
      <c r="B603" s="76" t="s">
        <v>1650</v>
      </c>
      <c r="C603" s="65" t="s">
        <v>38</v>
      </c>
      <c r="D603" s="66"/>
      <c r="E603" s="59">
        <v>34349</v>
      </c>
      <c r="F603" s="67">
        <v>4</v>
      </c>
      <c r="G603" s="49" t="s">
        <v>1671</v>
      </c>
      <c r="H603" s="32" t="s">
        <v>1672</v>
      </c>
      <c r="I603" s="65" t="s">
        <v>120</v>
      </c>
      <c r="J603" s="65" t="s">
        <v>120</v>
      </c>
      <c r="K603" s="85" t="s">
        <v>3725</v>
      </c>
    </row>
    <row r="604" spans="1:11" ht="45" customHeight="1">
      <c r="A604" s="32">
        <v>105</v>
      </c>
      <c r="B604" s="45" t="s">
        <v>1654</v>
      </c>
      <c r="C604" s="65" t="s">
        <v>38</v>
      </c>
      <c r="D604" s="66"/>
      <c r="E604" s="59">
        <v>100000</v>
      </c>
      <c r="F604" s="67">
        <v>4</v>
      </c>
      <c r="G604" s="65" t="s">
        <v>1655</v>
      </c>
      <c r="H604" s="32" t="s">
        <v>1656</v>
      </c>
      <c r="I604" s="65" t="s">
        <v>107</v>
      </c>
      <c r="J604" s="65" t="s">
        <v>1657</v>
      </c>
      <c r="K604" s="84" t="str">
        <f>"00027779"</f>
        <v>00027779</v>
      </c>
    </row>
    <row r="605" spans="1:11" ht="45" customHeight="1">
      <c r="A605" s="32">
        <v>105</v>
      </c>
      <c r="B605" s="45" t="s">
        <v>709</v>
      </c>
      <c r="C605" s="65" t="s">
        <v>38</v>
      </c>
      <c r="D605" s="66"/>
      <c r="E605" s="59">
        <v>110000</v>
      </c>
      <c r="F605" s="67">
        <v>4</v>
      </c>
      <c r="G605" s="65" t="s">
        <v>1698</v>
      </c>
      <c r="H605" s="32" t="s">
        <v>1699</v>
      </c>
      <c r="I605" s="65" t="s">
        <v>107</v>
      </c>
      <c r="J605" s="72" t="s">
        <v>1700</v>
      </c>
      <c r="K605" s="85" t="s">
        <v>6087</v>
      </c>
    </row>
    <row r="606" spans="1:11" ht="45" customHeight="1">
      <c r="A606" s="32">
        <v>105</v>
      </c>
      <c r="B606" s="76" t="s">
        <v>1650</v>
      </c>
      <c r="C606" s="65" t="s">
        <v>38</v>
      </c>
      <c r="D606" s="66"/>
      <c r="E606" s="59">
        <v>80000</v>
      </c>
      <c r="F606" s="67">
        <v>4</v>
      </c>
      <c r="G606" s="65" t="s">
        <v>1658</v>
      </c>
      <c r="H606" s="32" t="s">
        <v>1652</v>
      </c>
      <c r="I606" s="65" t="s">
        <v>387</v>
      </c>
      <c r="J606" s="65" t="s">
        <v>1653</v>
      </c>
      <c r="K606" s="85" t="s">
        <v>6088</v>
      </c>
    </row>
    <row r="607" spans="1:11" ht="45" customHeight="1">
      <c r="A607" s="32">
        <v>105</v>
      </c>
      <c r="B607" s="45" t="s">
        <v>1644</v>
      </c>
      <c r="C607" s="65" t="s">
        <v>38</v>
      </c>
      <c r="D607" s="66"/>
      <c r="E607" s="59">
        <v>125265</v>
      </c>
      <c r="F607" s="67">
        <v>4</v>
      </c>
      <c r="G607" s="76" t="s">
        <v>1641</v>
      </c>
      <c r="H607" s="32" t="s">
        <v>1642</v>
      </c>
      <c r="I607" s="65" t="s">
        <v>470</v>
      </c>
      <c r="J607" s="74" t="s">
        <v>1643</v>
      </c>
      <c r="K607" s="84" t="str">
        <f>"00028828"</f>
        <v>00028828</v>
      </c>
    </row>
    <row r="608" spans="1:11" ht="45" customHeight="1">
      <c r="A608" s="32">
        <v>105</v>
      </c>
      <c r="B608" s="45" t="s">
        <v>698</v>
      </c>
      <c r="C608" s="65" t="s">
        <v>38</v>
      </c>
      <c r="D608" s="66"/>
      <c r="E608" s="59">
        <v>45852</v>
      </c>
      <c r="F608" s="67">
        <v>4</v>
      </c>
      <c r="G608" s="76" t="s">
        <v>1641</v>
      </c>
      <c r="H608" s="32" t="s">
        <v>1642</v>
      </c>
      <c r="I608" s="65" t="s">
        <v>470</v>
      </c>
      <c r="J608" s="72" t="s">
        <v>1643</v>
      </c>
      <c r="K608" s="84" t="str">
        <f>"00028828"</f>
        <v>00028828</v>
      </c>
    </row>
    <row r="609" spans="1:11" ht="45" customHeight="1">
      <c r="A609" s="32">
        <v>105</v>
      </c>
      <c r="B609" s="51" t="s">
        <v>1638</v>
      </c>
      <c r="C609" s="65" t="s">
        <v>38</v>
      </c>
      <c r="D609" s="66"/>
      <c r="E609" s="59">
        <v>59742</v>
      </c>
      <c r="F609" s="67">
        <v>4</v>
      </c>
      <c r="G609" s="65" t="s">
        <v>1639</v>
      </c>
      <c r="H609" s="32" t="s">
        <v>1640</v>
      </c>
      <c r="I609" s="65" t="s">
        <v>100</v>
      </c>
      <c r="J609" s="65" t="s">
        <v>101</v>
      </c>
      <c r="K609" s="85" t="s">
        <v>3423</v>
      </c>
    </row>
    <row r="610" spans="1:11" ht="45" customHeight="1">
      <c r="A610" s="32">
        <v>105</v>
      </c>
      <c r="B610" s="45" t="s">
        <v>1695</v>
      </c>
      <c r="C610" s="65" t="s">
        <v>38</v>
      </c>
      <c r="D610" s="66"/>
      <c r="E610" s="59">
        <v>129236</v>
      </c>
      <c r="F610" s="67">
        <v>4</v>
      </c>
      <c r="G610" s="65" t="s">
        <v>1696</v>
      </c>
      <c r="H610" s="32" t="s">
        <v>1697</v>
      </c>
      <c r="I610" s="65" t="s">
        <v>91</v>
      </c>
      <c r="J610" s="65" t="s">
        <v>1691</v>
      </c>
      <c r="K610" s="85" t="s">
        <v>3424</v>
      </c>
    </row>
    <row r="611" spans="1:11" ht="45" customHeight="1">
      <c r="A611" s="32">
        <v>105</v>
      </c>
      <c r="B611" s="51" t="s">
        <v>1638</v>
      </c>
      <c r="C611" s="65" t="s">
        <v>38</v>
      </c>
      <c r="D611" s="66"/>
      <c r="E611" s="59">
        <v>80000</v>
      </c>
      <c r="F611" s="67">
        <v>4</v>
      </c>
      <c r="G611" s="65" t="s">
        <v>1689</v>
      </c>
      <c r="H611" s="32" t="s">
        <v>1690</v>
      </c>
      <c r="I611" s="65" t="s">
        <v>91</v>
      </c>
      <c r="J611" s="65" t="s">
        <v>1691</v>
      </c>
      <c r="K611" s="85" t="s">
        <v>3425</v>
      </c>
    </row>
    <row r="612" spans="1:11" ht="45" customHeight="1">
      <c r="A612" s="32">
        <v>105</v>
      </c>
      <c r="B612" s="45" t="s">
        <v>703</v>
      </c>
      <c r="C612" s="65" t="s">
        <v>38</v>
      </c>
      <c r="D612" s="66"/>
      <c r="E612" s="59">
        <v>55882</v>
      </c>
      <c r="F612" s="67">
        <v>4</v>
      </c>
      <c r="G612" s="49" t="s">
        <v>1687</v>
      </c>
      <c r="H612" s="32" t="s">
        <v>1632</v>
      </c>
      <c r="I612" s="65" t="s">
        <v>165</v>
      </c>
      <c r="J612" s="65" t="s">
        <v>1688</v>
      </c>
      <c r="K612" s="85" t="s">
        <v>3426</v>
      </c>
    </row>
    <row r="613" spans="1:11" ht="45" customHeight="1">
      <c r="A613" s="32">
        <v>105</v>
      </c>
      <c r="B613" s="76" t="s">
        <v>1684</v>
      </c>
      <c r="C613" s="65" t="s">
        <v>38</v>
      </c>
      <c r="D613" s="66"/>
      <c r="E613" s="59">
        <v>100000</v>
      </c>
      <c r="F613" s="67">
        <v>4</v>
      </c>
      <c r="G613" s="65" t="s">
        <v>1685</v>
      </c>
      <c r="H613" s="32" t="s">
        <v>1686</v>
      </c>
      <c r="I613" s="65" t="s">
        <v>107</v>
      </c>
      <c r="J613" s="70" t="s">
        <v>109</v>
      </c>
      <c r="K613" s="85" t="s">
        <v>3427</v>
      </c>
    </row>
    <row r="614" spans="1:11" ht="45" customHeight="1">
      <c r="A614" s="32">
        <v>105</v>
      </c>
      <c r="B614" s="45" t="s">
        <v>1681</v>
      </c>
      <c r="C614" s="65" t="s">
        <v>38</v>
      </c>
      <c r="D614" s="66"/>
      <c r="E614" s="59">
        <v>33352</v>
      </c>
      <c r="F614" s="67">
        <v>4</v>
      </c>
      <c r="G614" s="65" t="s">
        <v>1682</v>
      </c>
      <c r="H614" s="32" t="s">
        <v>1683</v>
      </c>
      <c r="I614" s="65" t="s">
        <v>92</v>
      </c>
      <c r="J614" s="65" t="s">
        <v>894</v>
      </c>
      <c r="K614" s="85" t="s">
        <v>3428</v>
      </c>
    </row>
    <row r="615" spans="1:11" ht="45" customHeight="1">
      <c r="A615" s="32">
        <v>105</v>
      </c>
      <c r="B615" s="45" t="s">
        <v>1701</v>
      </c>
      <c r="C615" s="65" t="s">
        <v>38</v>
      </c>
      <c r="D615" s="66"/>
      <c r="E615" s="59">
        <v>80529</v>
      </c>
      <c r="F615" s="67">
        <v>4</v>
      </c>
      <c r="G615" s="65" t="s">
        <v>1702</v>
      </c>
      <c r="H615" s="32" t="s">
        <v>1703</v>
      </c>
      <c r="I615" s="65" t="s">
        <v>165</v>
      </c>
      <c r="J615" s="70" t="s">
        <v>1704</v>
      </c>
      <c r="K615" s="84" t="str">
        <f>"00031679"</f>
        <v>00031679</v>
      </c>
    </row>
    <row r="616" spans="1:11" ht="45" customHeight="1">
      <c r="A616" s="32">
        <v>105</v>
      </c>
      <c r="B616" s="45" t="s">
        <v>702</v>
      </c>
      <c r="C616" s="65" t="s">
        <v>38</v>
      </c>
      <c r="D616" s="66"/>
      <c r="E616" s="59">
        <v>48495</v>
      </c>
      <c r="F616" s="67">
        <v>4</v>
      </c>
      <c r="G616" s="65" t="s">
        <v>1725</v>
      </c>
      <c r="H616" s="32" t="s">
        <v>1726</v>
      </c>
      <c r="I616" s="65" t="s">
        <v>120</v>
      </c>
      <c r="J616" s="65" t="s">
        <v>120</v>
      </c>
      <c r="K616" s="85" t="s">
        <v>3419</v>
      </c>
    </row>
    <row r="617" spans="1:11" ht="45" customHeight="1">
      <c r="A617" s="32">
        <v>105</v>
      </c>
      <c r="B617" s="45" t="s">
        <v>703</v>
      </c>
      <c r="C617" s="65" t="s">
        <v>38</v>
      </c>
      <c r="D617" s="66"/>
      <c r="E617" s="59">
        <v>39669</v>
      </c>
      <c r="F617" s="67">
        <v>4</v>
      </c>
      <c r="G617" s="65" t="s">
        <v>1705</v>
      </c>
      <c r="H617" s="32" t="s">
        <v>1683</v>
      </c>
      <c r="I617" s="65" t="s">
        <v>92</v>
      </c>
      <c r="J617" s="65" t="s">
        <v>691</v>
      </c>
      <c r="K617" s="85" t="s">
        <v>3420</v>
      </c>
    </row>
    <row r="618" spans="1:11" ht="45" customHeight="1">
      <c r="A618" s="32">
        <v>105</v>
      </c>
      <c r="B618" s="45" t="s">
        <v>1727</v>
      </c>
      <c r="C618" s="65" t="s">
        <v>38</v>
      </c>
      <c r="D618" s="66"/>
      <c r="E618" s="59">
        <v>65000</v>
      </c>
      <c r="F618" s="67">
        <v>4</v>
      </c>
      <c r="G618" s="65" t="s">
        <v>1727</v>
      </c>
      <c r="H618" s="32" t="s">
        <v>1728</v>
      </c>
      <c r="I618" s="65" t="s">
        <v>107</v>
      </c>
      <c r="J618" s="65" t="s">
        <v>336</v>
      </c>
      <c r="K618" s="85" t="s">
        <v>3421</v>
      </c>
    </row>
    <row r="619" spans="1:11" ht="45" customHeight="1">
      <c r="A619" s="32">
        <v>105</v>
      </c>
      <c r="B619" s="45" t="s">
        <v>1729</v>
      </c>
      <c r="C619" s="65" t="s">
        <v>38</v>
      </c>
      <c r="D619" s="66"/>
      <c r="E619" s="59">
        <v>120219</v>
      </c>
      <c r="F619" s="67">
        <v>4</v>
      </c>
      <c r="G619" s="65" t="s">
        <v>1730</v>
      </c>
      <c r="H619" s="32" t="s">
        <v>1731</v>
      </c>
      <c r="I619" s="65" t="s">
        <v>304</v>
      </c>
      <c r="J619" s="65" t="s">
        <v>567</v>
      </c>
      <c r="K619" s="85" t="s">
        <v>3422</v>
      </c>
    </row>
    <row r="620" spans="1:11" ht="45" customHeight="1">
      <c r="A620" s="31"/>
      <c r="B620" s="58" t="s">
        <v>710</v>
      </c>
      <c r="C620" s="31"/>
      <c r="D620" s="31"/>
      <c r="E620" s="59">
        <f>SUM(E582:E619)</f>
        <v>2834797</v>
      </c>
      <c r="F620" s="31"/>
      <c r="G620" s="31"/>
      <c r="H620" s="31"/>
      <c r="I620" s="31"/>
      <c r="J620" s="31"/>
      <c r="K620" s="86"/>
    </row>
    <row r="621" spans="1:11" ht="45" customHeight="1">
      <c r="A621" s="30"/>
      <c r="B621" s="60" t="s">
        <v>660</v>
      </c>
      <c r="C621" s="45"/>
      <c r="D621" s="46"/>
      <c r="E621" s="47"/>
      <c r="F621" s="48"/>
      <c r="G621" s="49"/>
      <c r="H621" s="30"/>
      <c r="I621" s="45"/>
      <c r="J621" s="45"/>
      <c r="K621" s="50"/>
    </row>
    <row r="622" spans="1:11" ht="45" customHeight="1">
      <c r="A622" s="30">
        <v>105</v>
      </c>
      <c r="B622" s="45" t="s">
        <v>1774</v>
      </c>
      <c r="C622" s="45" t="s">
        <v>38</v>
      </c>
      <c r="D622" s="46"/>
      <c r="E622" s="47">
        <v>88223</v>
      </c>
      <c r="F622" s="48">
        <v>4</v>
      </c>
      <c r="G622" s="51" t="s">
        <v>3445</v>
      </c>
      <c r="H622" s="30" t="s">
        <v>1724</v>
      </c>
      <c r="I622" s="45" t="s">
        <v>107</v>
      </c>
      <c r="J622" s="45" t="s">
        <v>1775</v>
      </c>
      <c r="K622" s="50" t="str">
        <f>"00027283"</f>
        <v>00027283</v>
      </c>
    </row>
    <row r="623" spans="1:11" ht="45" customHeight="1">
      <c r="A623" s="30">
        <v>105</v>
      </c>
      <c r="B623" s="45" t="s">
        <v>652</v>
      </c>
      <c r="C623" s="45" t="s">
        <v>38</v>
      </c>
      <c r="D623" s="46"/>
      <c r="E623" s="47">
        <v>15000</v>
      </c>
      <c r="F623" s="48">
        <v>4</v>
      </c>
      <c r="G623" s="45" t="s">
        <v>3446</v>
      </c>
      <c r="H623" s="30" t="s">
        <v>1379</v>
      </c>
      <c r="I623" s="45" t="s">
        <v>92</v>
      </c>
      <c r="J623" s="45" t="s">
        <v>293</v>
      </c>
      <c r="K623" s="50" t="str">
        <f>"00027162"</f>
        <v>00027162</v>
      </c>
    </row>
    <row r="624" spans="1:11" ht="45" customHeight="1">
      <c r="A624" s="30">
        <v>105</v>
      </c>
      <c r="B624" s="45" t="s">
        <v>652</v>
      </c>
      <c r="C624" s="45" t="s">
        <v>38</v>
      </c>
      <c r="D624" s="46"/>
      <c r="E624" s="47">
        <v>34584</v>
      </c>
      <c r="F624" s="48">
        <v>4</v>
      </c>
      <c r="G624" s="45" t="s">
        <v>3446</v>
      </c>
      <c r="H624" s="30" t="s">
        <v>1631</v>
      </c>
      <c r="I624" s="45" t="s">
        <v>92</v>
      </c>
      <c r="J624" s="45" t="s">
        <v>293</v>
      </c>
      <c r="K624" s="50" t="str">
        <f>"00027145"</f>
        <v>00027145</v>
      </c>
    </row>
    <row r="625" spans="1:11" ht="45" customHeight="1">
      <c r="A625" s="30">
        <v>105</v>
      </c>
      <c r="B625" s="45" t="s">
        <v>652</v>
      </c>
      <c r="C625" s="45" t="s">
        <v>38</v>
      </c>
      <c r="D625" s="46"/>
      <c r="E625" s="47">
        <v>15000</v>
      </c>
      <c r="F625" s="48">
        <v>4</v>
      </c>
      <c r="G625" s="45" t="s">
        <v>3446</v>
      </c>
      <c r="H625" s="30" t="s">
        <v>1379</v>
      </c>
      <c r="I625" s="45" t="s">
        <v>92</v>
      </c>
      <c r="J625" s="45" t="s">
        <v>293</v>
      </c>
      <c r="K625" s="50" t="str">
        <f>"00027159"</f>
        <v>00027159</v>
      </c>
    </row>
    <row r="626" spans="1:11" ht="45" customHeight="1">
      <c r="A626" s="30">
        <v>105</v>
      </c>
      <c r="B626" s="45" t="s">
        <v>652</v>
      </c>
      <c r="C626" s="45" t="s">
        <v>38</v>
      </c>
      <c r="D626" s="46"/>
      <c r="E626" s="47">
        <v>15000</v>
      </c>
      <c r="F626" s="48">
        <v>4</v>
      </c>
      <c r="G626" s="45" t="s">
        <v>3446</v>
      </c>
      <c r="H626" s="30" t="s">
        <v>1379</v>
      </c>
      <c r="I626" s="45" t="s">
        <v>92</v>
      </c>
      <c r="J626" s="45" t="s">
        <v>293</v>
      </c>
      <c r="K626" s="50" t="str">
        <f>"00027158"</f>
        <v>00027158</v>
      </c>
    </row>
    <row r="627" spans="1:11" ht="45" customHeight="1">
      <c r="A627" s="30">
        <v>105</v>
      </c>
      <c r="B627" s="45" t="s">
        <v>652</v>
      </c>
      <c r="C627" s="45" t="s">
        <v>38</v>
      </c>
      <c r="D627" s="46"/>
      <c r="E627" s="47">
        <v>15000</v>
      </c>
      <c r="F627" s="48">
        <v>4</v>
      </c>
      <c r="G627" s="45" t="s">
        <v>3446</v>
      </c>
      <c r="H627" s="30" t="s">
        <v>1379</v>
      </c>
      <c r="I627" s="45" t="s">
        <v>92</v>
      </c>
      <c r="J627" s="45" t="s">
        <v>293</v>
      </c>
      <c r="K627" s="50" t="str">
        <f>"00027161"</f>
        <v>00027161</v>
      </c>
    </row>
    <row r="628" spans="1:11" ht="45" customHeight="1">
      <c r="A628" s="30">
        <v>105</v>
      </c>
      <c r="B628" s="45" t="s">
        <v>1776</v>
      </c>
      <c r="C628" s="45" t="s">
        <v>38</v>
      </c>
      <c r="D628" s="46"/>
      <c r="E628" s="47">
        <v>89836</v>
      </c>
      <c r="F628" s="48">
        <v>4</v>
      </c>
      <c r="G628" s="51" t="s">
        <v>3447</v>
      </c>
      <c r="H628" s="30" t="s">
        <v>1724</v>
      </c>
      <c r="I628" s="45" t="s">
        <v>107</v>
      </c>
      <c r="J628" s="45" t="s">
        <v>1775</v>
      </c>
      <c r="K628" s="50" t="str">
        <f>"00027285"</f>
        <v>00027285</v>
      </c>
    </row>
    <row r="629" spans="1:11" ht="45" customHeight="1">
      <c r="A629" s="30">
        <v>105</v>
      </c>
      <c r="B629" s="45" t="s">
        <v>1773</v>
      </c>
      <c r="C629" s="45" t="s">
        <v>38</v>
      </c>
      <c r="D629" s="46"/>
      <c r="E629" s="47">
        <v>44679</v>
      </c>
      <c r="F629" s="48">
        <v>4</v>
      </c>
      <c r="G629" s="49" t="s">
        <v>3448</v>
      </c>
      <c r="H629" s="30" t="s">
        <v>1625</v>
      </c>
      <c r="I629" s="45" t="s">
        <v>92</v>
      </c>
      <c r="J629" s="45" t="s">
        <v>156</v>
      </c>
      <c r="K629" s="50" t="str">
        <f>"00027724"</f>
        <v>00027724</v>
      </c>
    </row>
    <row r="630" spans="1:11" ht="45" customHeight="1">
      <c r="A630" s="30">
        <v>105</v>
      </c>
      <c r="B630" s="45" t="s">
        <v>651</v>
      </c>
      <c r="C630" s="45" t="s">
        <v>38</v>
      </c>
      <c r="D630" s="46"/>
      <c r="E630" s="47">
        <v>75888</v>
      </c>
      <c r="F630" s="48">
        <v>4</v>
      </c>
      <c r="G630" s="45" t="s">
        <v>3449</v>
      </c>
      <c r="H630" s="30" t="s">
        <v>1258</v>
      </c>
      <c r="I630" s="45" t="s">
        <v>92</v>
      </c>
      <c r="J630" s="45" t="s">
        <v>156</v>
      </c>
      <c r="K630" s="50" t="str">
        <f>"00029553"</f>
        <v>00029553</v>
      </c>
    </row>
    <row r="631" spans="1:11" ht="45" customHeight="1">
      <c r="A631" s="30">
        <v>105</v>
      </c>
      <c r="B631" s="45" t="s">
        <v>656</v>
      </c>
      <c r="C631" s="45" t="s">
        <v>38</v>
      </c>
      <c r="D631" s="46"/>
      <c r="E631" s="47">
        <v>65000</v>
      </c>
      <c r="F631" s="48">
        <v>4</v>
      </c>
      <c r="G631" s="45" t="s">
        <v>3450</v>
      </c>
      <c r="H631" s="30" t="s">
        <v>1022</v>
      </c>
      <c r="I631" s="45" t="s">
        <v>116</v>
      </c>
      <c r="J631" s="45" t="s">
        <v>117</v>
      </c>
      <c r="K631" s="50" t="str">
        <f>"00027727"</f>
        <v>00027727</v>
      </c>
    </row>
    <row r="632" spans="1:11" ht="45" customHeight="1">
      <c r="A632" s="30">
        <v>105</v>
      </c>
      <c r="B632" s="45" t="s">
        <v>1739</v>
      </c>
      <c r="C632" s="45" t="s">
        <v>38</v>
      </c>
      <c r="D632" s="46"/>
      <c r="E632" s="47">
        <v>26176</v>
      </c>
      <c r="F632" s="48">
        <v>4</v>
      </c>
      <c r="G632" s="45" t="s">
        <v>3451</v>
      </c>
      <c r="H632" s="30" t="s">
        <v>1740</v>
      </c>
      <c r="I632" s="45" t="s">
        <v>150</v>
      </c>
      <c r="J632" s="45" t="s">
        <v>1623</v>
      </c>
      <c r="K632" s="50" t="str">
        <f>"00028909"</f>
        <v>00028909</v>
      </c>
    </row>
    <row r="633" spans="1:11" ht="45" customHeight="1">
      <c r="A633" s="30">
        <v>105</v>
      </c>
      <c r="B633" s="51" t="s">
        <v>1741</v>
      </c>
      <c r="C633" s="45" t="s">
        <v>38</v>
      </c>
      <c r="D633" s="46"/>
      <c r="E633" s="47">
        <v>90206</v>
      </c>
      <c r="F633" s="48">
        <v>4</v>
      </c>
      <c r="G633" s="45" t="s">
        <v>3452</v>
      </c>
      <c r="H633" s="30" t="s">
        <v>1742</v>
      </c>
      <c r="I633" s="45" t="s">
        <v>107</v>
      </c>
      <c r="J633" s="45" t="s">
        <v>166</v>
      </c>
      <c r="K633" s="50" t="str">
        <f>"00028359"</f>
        <v>00028359</v>
      </c>
    </row>
    <row r="634" spans="1:11" ht="45" customHeight="1">
      <c r="A634" s="30">
        <v>105</v>
      </c>
      <c r="B634" s="51" t="s">
        <v>4812</v>
      </c>
      <c r="C634" s="45" t="s">
        <v>38</v>
      </c>
      <c r="D634" s="46"/>
      <c r="E634" s="47">
        <v>80000</v>
      </c>
      <c r="F634" s="48">
        <v>4</v>
      </c>
      <c r="G634" s="45" t="s">
        <v>3453</v>
      </c>
      <c r="H634" s="30" t="s">
        <v>1743</v>
      </c>
      <c r="I634" s="45" t="s">
        <v>107</v>
      </c>
      <c r="J634" s="45" t="s">
        <v>166</v>
      </c>
      <c r="K634" s="50" t="str">
        <f>"00028364"</f>
        <v>00028364</v>
      </c>
    </row>
    <row r="635" spans="1:11" ht="45" customHeight="1">
      <c r="A635" s="30">
        <v>105</v>
      </c>
      <c r="B635" s="45" t="s">
        <v>1737</v>
      </c>
      <c r="C635" s="45" t="s">
        <v>38</v>
      </c>
      <c r="D635" s="46"/>
      <c r="E635" s="47">
        <v>57235</v>
      </c>
      <c r="F635" s="48">
        <v>4</v>
      </c>
      <c r="G635" s="45" t="s">
        <v>3454</v>
      </c>
      <c r="H635" s="30" t="s">
        <v>1738</v>
      </c>
      <c r="I635" s="45" t="s">
        <v>92</v>
      </c>
      <c r="J635" s="45" t="s">
        <v>110</v>
      </c>
      <c r="K635" s="50" t="str">
        <f>"00028605"</f>
        <v>00028605</v>
      </c>
    </row>
    <row r="636" spans="1:11" ht="45" customHeight="1">
      <c r="A636" s="30">
        <v>105</v>
      </c>
      <c r="B636" s="49" t="s">
        <v>1732</v>
      </c>
      <c r="C636" s="45" t="s">
        <v>38</v>
      </c>
      <c r="D636" s="46"/>
      <c r="E636" s="47">
        <v>21158</v>
      </c>
      <c r="F636" s="48">
        <v>4</v>
      </c>
      <c r="G636" s="45" t="s">
        <v>3455</v>
      </c>
      <c r="H636" s="30" t="s">
        <v>1295</v>
      </c>
      <c r="I636" s="45" t="s">
        <v>107</v>
      </c>
      <c r="J636" s="45" t="s">
        <v>124</v>
      </c>
      <c r="K636" s="50" t="str">
        <f>"00028852"</f>
        <v>00028852</v>
      </c>
    </row>
    <row r="637" spans="1:11" ht="45" customHeight="1">
      <c r="A637" s="30">
        <v>105</v>
      </c>
      <c r="B637" s="45" t="s">
        <v>1733</v>
      </c>
      <c r="C637" s="45" t="s">
        <v>38</v>
      </c>
      <c r="D637" s="46"/>
      <c r="E637" s="47">
        <v>49029</v>
      </c>
      <c r="F637" s="48">
        <v>4</v>
      </c>
      <c r="G637" s="45" t="s">
        <v>3456</v>
      </c>
      <c r="H637" s="30" t="s">
        <v>1258</v>
      </c>
      <c r="I637" s="45" t="s">
        <v>100</v>
      </c>
      <c r="J637" s="45" t="s">
        <v>1301</v>
      </c>
      <c r="K637" s="50" t="str">
        <f>"00029221"</f>
        <v>00029221</v>
      </c>
    </row>
    <row r="638" spans="1:11" ht="45" customHeight="1">
      <c r="A638" s="30">
        <v>105</v>
      </c>
      <c r="B638" s="45" t="s">
        <v>1733</v>
      </c>
      <c r="C638" s="45" t="s">
        <v>38</v>
      </c>
      <c r="D638" s="46"/>
      <c r="E638" s="47">
        <v>40000</v>
      </c>
      <c r="F638" s="48">
        <v>4</v>
      </c>
      <c r="G638" s="45" t="s">
        <v>3457</v>
      </c>
      <c r="H638" s="30" t="s">
        <v>1734</v>
      </c>
      <c r="I638" s="45" t="s">
        <v>100</v>
      </c>
      <c r="J638" s="45" t="s">
        <v>1301</v>
      </c>
      <c r="K638" s="50" t="str">
        <f>"00029219"</f>
        <v>00029219</v>
      </c>
    </row>
    <row r="639" spans="1:11" ht="45" customHeight="1">
      <c r="A639" s="30">
        <v>105</v>
      </c>
      <c r="B639" s="45" t="s">
        <v>653</v>
      </c>
      <c r="C639" s="45" t="s">
        <v>38</v>
      </c>
      <c r="D639" s="46"/>
      <c r="E639" s="47">
        <v>89039</v>
      </c>
      <c r="F639" s="48">
        <v>4</v>
      </c>
      <c r="G639" s="45" t="s">
        <v>3458</v>
      </c>
      <c r="H639" s="30" t="s">
        <v>1506</v>
      </c>
      <c r="I639" s="45" t="s">
        <v>107</v>
      </c>
      <c r="J639" s="45" t="s">
        <v>63</v>
      </c>
      <c r="K639" s="50" t="str">
        <f>"00029289"</f>
        <v>00029289</v>
      </c>
    </row>
    <row r="640" spans="1:11" ht="45" customHeight="1">
      <c r="A640" s="30">
        <v>105</v>
      </c>
      <c r="B640" s="45" t="s">
        <v>1739</v>
      </c>
      <c r="C640" s="45" t="s">
        <v>38</v>
      </c>
      <c r="D640" s="46"/>
      <c r="E640" s="47">
        <v>111228</v>
      </c>
      <c r="F640" s="48">
        <v>4</v>
      </c>
      <c r="G640" s="45" t="s">
        <v>3459</v>
      </c>
      <c r="H640" s="30" t="s">
        <v>1622</v>
      </c>
      <c r="I640" s="45" t="s">
        <v>150</v>
      </c>
      <c r="J640" s="45" t="s">
        <v>1623</v>
      </c>
      <c r="K640" s="50" t="str">
        <f>"00028754"</f>
        <v>00028754</v>
      </c>
    </row>
    <row r="641" spans="1:11" ht="45" customHeight="1">
      <c r="A641" s="30">
        <v>105</v>
      </c>
      <c r="B641" s="45" t="s">
        <v>658</v>
      </c>
      <c r="C641" s="45" t="s">
        <v>38</v>
      </c>
      <c r="D641" s="46"/>
      <c r="E641" s="47">
        <v>84561</v>
      </c>
      <c r="F641" s="48">
        <v>4</v>
      </c>
      <c r="G641" s="45" t="s">
        <v>3460</v>
      </c>
      <c r="H641" s="30" t="s">
        <v>1747</v>
      </c>
      <c r="I641" s="45" t="s">
        <v>456</v>
      </c>
      <c r="J641" s="45" t="s">
        <v>1748</v>
      </c>
      <c r="K641" s="50" t="str">
        <f>"00028437"</f>
        <v>00028437</v>
      </c>
    </row>
    <row r="642" spans="1:11" ht="45" customHeight="1">
      <c r="A642" s="30">
        <v>105</v>
      </c>
      <c r="B642" s="45" t="s">
        <v>1744</v>
      </c>
      <c r="C642" s="45" t="s">
        <v>38</v>
      </c>
      <c r="D642" s="46"/>
      <c r="E642" s="47">
        <v>87167</v>
      </c>
      <c r="F642" s="48">
        <v>4</v>
      </c>
      <c r="G642" s="45" t="s">
        <v>3461</v>
      </c>
      <c r="H642" s="30" t="s">
        <v>1745</v>
      </c>
      <c r="I642" s="45" t="s">
        <v>116</v>
      </c>
      <c r="J642" s="45" t="s">
        <v>1746</v>
      </c>
      <c r="K642" s="50" t="str">
        <f>"00029772"</f>
        <v>00029772</v>
      </c>
    </row>
    <row r="643" spans="1:11" ht="45" customHeight="1">
      <c r="A643" s="30">
        <v>105</v>
      </c>
      <c r="B643" s="45" t="s">
        <v>1735</v>
      </c>
      <c r="C643" s="45" t="s">
        <v>38</v>
      </c>
      <c r="D643" s="46"/>
      <c r="E643" s="47">
        <v>80000</v>
      </c>
      <c r="F643" s="48">
        <v>4</v>
      </c>
      <c r="G643" s="45" t="s">
        <v>3462</v>
      </c>
      <c r="H643" s="30" t="s">
        <v>1736</v>
      </c>
      <c r="I643" s="45" t="s">
        <v>92</v>
      </c>
      <c r="J643" s="45" t="s">
        <v>156</v>
      </c>
      <c r="K643" s="50" t="str">
        <f>"00029129"</f>
        <v>00029129</v>
      </c>
    </row>
    <row r="644" spans="1:11" ht="45" customHeight="1">
      <c r="A644" s="30">
        <v>105</v>
      </c>
      <c r="B644" s="45" t="s">
        <v>1755</v>
      </c>
      <c r="C644" s="45" t="s">
        <v>38</v>
      </c>
      <c r="D644" s="46"/>
      <c r="E644" s="47">
        <v>46368</v>
      </c>
      <c r="F644" s="48">
        <v>4</v>
      </c>
      <c r="G644" s="45" t="s">
        <v>3463</v>
      </c>
      <c r="H644" s="30" t="s">
        <v>1756</v>
      </c>
      <c r="I644" s="45" t="s">
        <v>107</v>
      </c>
      <c r="J644" s="45" t="s">
        <v>298</v>
      </c>
      <c r="K644" s="50" t="str">
        <f>"00029934"</f>
        <v>00029934</v>
      </c>
    </row>
    <row r="645" spans="1:11" ht="45" customHeight="1">
      <c r="A645" s="30">
        <v>105</v>
      </c>
      <c r="B645" s="45" t="s">
        <v>1778</v>
      </c>
      <c r="C645" s="45" t="s">
        <v>38</v>
      </c>
      <c r="D645" s="46"/>
      <c r="E645" s="47">
        <v>120000</v>
      </c>
      <c r="F645" s="48">
        <v>4</v>
      </c>
      <c r="G645" s="45" t="s">
        <v>3464</v>
      </c>
      <c r="H645" s="30" t="s">
        <v>1779</v>
      </c>
      <c r="I645" s="45" t="s">
        <v>107</v>
      </c>
      <c r="J645" s="45" t="s">
        <v>1220</v>
      </c>
      <c r="K645" s="50" t="str">
        <f>"00029787"</f>
        <v>00029787</v>
      </c>
    </row>
    <row r="646" spans="1:11" ht="45" customHeight="1">
      <c r="A646" s="30">
        <v>105</v>
      </c>
      <c r="B646" s="45" t="s">
        <v>1753</v>
      </c>
      <c r="C646" s="45" t="s">
        <v>38</v>
      </c>
      <c r="D646" s="46"/>
      <c r="E646" s="47">
        <v>61464</v>
      </c>
      <c r="F646" s="48">
        <v>4</v>
      </c>
      <c r="G646" s="45" t="s">
        <v>3465</v>
      </c>
      <c r="H646" s="30" t="s">
        <v>1141</v>
      </c>
      <c r="I646" s="45" t="s">
        <v>222</v>
      </c>
      <c r="J646" s="45" t="s">
        <v>359</v>
      </c>
      <c r="K646" s="50" t="str">
        <f>"00030716"</f>
        <v>00030716</v>
      </c>
    </row>
    <row r="647" spans="1:11" ht="45" customHeight="1">
      <c r="A647" s="30">
        <v>105</v>
      </c>
      <c r="B647" s="45" t="s">
        <v>655</v>
      </c>
      <c r="C647" s="45" t="s">
        <v>38</v>
      </c>
      <c r="D647" s="46"/>
      <c r="E647" s="47">
        <v>112856</v>
      </c>
      <c r="F647" s="48">
        <v>4</v>
      </c>
      <c r="G647" s="45" t="s">
        <v>3466</v>
      </c>
      <c r="H647" s="30" t="s">
        <v>1752</v>
      </c>
      <c r="I647" s="45" t="s">
        <v>91</v>
      </c>
      <c r="J647" s="45" t="s">
        <v>381</v>
      </c>
      <c r="K647" s="50" t="str">
        <f>"00030234"</f>
        <v>00030234</v>
      </c>
    </row>
    <row r="648" spans="1:11" ht="45" customHeight="1">
      <c r="A648" s="30">
        <v>105</v>
      </c>
      <c r="B648" s="45" t="s">
        <v>1753</v>
      </c>
      <c r="C648" s="45" t="s">
        <v>38</v>
      </c>
      <c r="D648" s="46"/>
      <c r="E648" s="47">
        <v>23254</v>
      </c>
      <c r="F648" s="48">
        <v>4</v>
      </c>
      <c r="G648" s="45" t="s">
        <v>3467</v>
      </c>
      <c r="H648" s="30" t="s">
        <v>1754</v>
      </c>
      <c r="I648" s="45" t="s">
        <v>92</v>
      </c>
      <c r="J648" s="45" t="s">
        <v>106</v>
      </c>
      <c r="K648" s="50" t="str">
        <f>"00029566"</f>
        <v>00029566</v>
      </c>
    </row>
    <row r="649" spans="1:11" ht="45" customHeight="1">
      <c r="A649" s="30">
        <v>105</v>
      </c>
      <c r="B649" s="45" t="s">
        <v>1735</v>
      </c>
      <c r="C649" s="45" t="s">
        <v>38</v>
      </c>
      <c r="D649" s="46"/>
      <c r="E649" s="47">
        <v>83959</v>
      </c>
      <c r="F649" s="48">
        <v>4</v>
      </c>
      <c r="G649" s="45" t="s">
        <v>3468</v>
      </c>
      <c r="H649" s="30" t="s">
        <v>1749</v>
      </c>
      <c r="I649" s="45" t="s">
        <v>92</v>
      </c>
      <c r="J649" s="45" t="s">
        <v>156</v>
      </c>
      <c r="K649" s="50" t="str">
        <f>"00028715"</f>
        <v>00028715</v>
      </c>
    </row>
    <row r="650" spans="1:11" ht="45" customHeight="1">
      <c r="A650" s="30">
        <v>105</v>
      </c>
      <c r="B650" s="45" t="s">
        <v>658</v>
      </c>
      <c r="C650" s="45" t="s">
        <v>38</v>
      </c>
      <c r="D650" s="46"/>
      <c r="E650" s="47">
        <v>87511</v>
      </c>
      <c r="F650" s="48">
        <v>4</v>
      </c>
      <c r="G650" s="45" t="s">
        <v>3469</v>
      </c>
      <c r="H650" s="30" t="s">
        <v>1747</v>
      </c>
      <c r="I650" s="45" t="s">
        <v>456</v>
      </c>
      <c r="J650" s="45" t="s">
        <v>1748</v>
      </c>
      <c r="K650" s="50" t="str">
        <f>"00028497"</f>
        <v>00028497</v>
      </c>
    </row>
    <row r="651" spans="1:11" ht="45" customHeight="1">
      <c r="A651" s="30">
        <v>105</v>
      </c>
      <c r="B651" s="45" t="s">
        <v>1750</v>
      </c>
      <c r="C651" s="45" t="s">
        <v>38</v>
      </c>
      <c r="D651" s="46"/>
      <c r="E651" s="47">
        <v>40000</v>
      </c>
      <c r="F651" s="48">
        <v>4</v>
      </c>
      <c r="G651" s="45" t="s">
        <v>3470</v>
      </c>
      <c r="H651" s="30" t="s">
        <v>1751</v>
      </c>
      <c r="I651" s="45" t="s">
        <v>275</v>
      </c>
      <c r="J651" s="45" t="s">
        <v>276</v>
      </c>
      <c r="K651" s="50" t="str">
        <f>"00030602"</f>
        <v>00030602</v>
      </c>
    </row>
    <row r="652" spans="1:11" ht="45" customHeight="1">
      <c r="A652" s="30">
        <v>105</v>
      </c>
      <c r="B652" s="45" t="s">
        <v>1733</v>
      </c>
      <c r="C652" s="45" t="s">
        <v>38</v>
      </c>
      <c r="D652" s="46"/>
      <c r="E652" s="47">
        <v>86000</v>
      </c>
      <c r="F652" s="48">
        <v>4</v>
      </c>
      <c r="G652" s="45" t="s">
        <v>3471</v>
      </c>
      <c r="H652" s="30" t="s">
        <v>1374</v>
      </c>
      <c r="I652" s="45" t="s">
        <v>107</v>
      </c>
      <c r="J652" s="45" t="s">
        <v>1780</v>
      </c>
      <c r="K652" s="50" t="str">
        <f>"00028761"</f>
        <v>00028761</v>
      </c>
    </row>
    <row r="653" spans="1:11" ht="45" customHeight="1">
      <c r="A653" s="30">
        <v>105</v>
      </c>
      <c r="B653" s="45" t="s">
        <v>1777</v>
      </c>
      <c r="C653" s="45" t="s">
        <v>38</v>
      </c>
      <c r="D653" s="46"/>
      <c r="E653" s="47">
        <v>46000</v>
      </c>
      <c r="F653" s="48">
        <v>4</v>
      </c>
      <c r="G653" s="45" t="s">
        <v>3472</v>
      </c>
      <c r="H653" s="30" t="s">
        <v>1003</v>
      </c>
      <c r="I653" s="45" t="s">
        <v>116</v>
      </c>
      <c r="J653" s="45" t="s">
        <v>281</v>
      </c>
      <c r="K653" s="50" t="str">
        <f>"00030404"</f>
        <v>00030404</v>
      </c>
    </row>
    <row r="654" spans="1:11" ht="45" customHeight="1">
      <c r="A654" s="30">
        <v>105</v>
      </c>
      <c r="B654" s="49" t="s">
        <v>657</v>
      </c>
      <c r="C654" s="45" t="s">
        <v>38</v>
      </c>
      <c r="D654" s="46"/>
      <c r="E654" s="47">
        <v>85203</v>
      </c>
      <c r="F654" s="48">
        <v>4</v>
      </c>
      <c r="G654" s="45" t="s">
        <v>3473</v>
      </c>
      <c r="H654" s="30" t="s">
        <v>1536</v>
      </c>
      <c r="I654" s="45" t="s">
        <v>107</v>
      </c>
      <c r="J654" s="45" t="s">
        <v>491</v>
      </c>
      <c r="K654" s="50" t="str">
        <f>"00030467"</f>
        <v>00030467</v>
      </c>
    </row>
    <row r="655" spans="1:11" ht="45" customHeight="1">
      <c r="A655" s="30">
        <v>105</v>
      </c>
      <c r="B655" s="45" t="s">
        <v>1781</v>
      </c>
      <c r="C655" s="45" t="s">
        <v>38</v>
      </c>
      <c r="D655" s="46"/>
      <c r="E655" s="47">
        <v>106326</v>
      </c>
      <c r="F655" s="48">
        <v>4</v>
      </c>
      <c r="G655" s="49" t="s">
        <v>3474</v>
      </c>
      <c r="H655" s="30" t="s">
        <v>1782</v>
      </c>
      <c r="I655" s="45" t="s">
        <v>116</v>
      </c>
      <c r="J655" s="45" t="s">
        <v>1783</v>
      </c>
      <c r="K655" s="50" t="str">
        <f>"00029769"</f>
        <v>00029769</v>
      </c>
    </row>
    <row r="656" spans="1:11" ht="45" customHeight="1">
      <c r="A656" s="30">
        <v>105</v>
      </c>
      <c r="B656" s="45" t="s">
        <v>654</v>
      </c>
      <c r="C656" s="45" t="s">
        <v>38</v>
      </c>
      <c r="D656" s="46"/>
      <c r="E656" s="47">
        <v>32558</v>
      </c>
      <c r="F656" s="48">
        <v>4</v>
      </c>
      <c r="G656" s="45" t="s">
        <v>3475</v>
      </c>
      <c r="H656" s="30" t="s">
        <v>1784</v>
      </c>
      <c r="I656" s="45" t="s">
        <v>387</v>
      </c>
      <c r="J656" s="45" t="s">
        <v>1785</v>
      </c>
      <c r="K656" s="50" t="str">
        <f>"00030420"</f>
        <v>00030420</v>
      </c>
    </row>
    <row r="657" spans="1:11" ht="45" customHeight="1">
      <c r="A657" s="30">
        <v>105</v>
      </c>
      <c r="B657" s="45" t="s">
        <v>649</v>
      </c>
      <c r="C657" s="45" t="s">
        <v>38</v>
      </c>
      <c r="D657" s="46"/>
      <c r="E657" s="47">
        <v>108376</v>
      </c>
      <c r="F657" s="48">
        <v>4</v>
      </c>
      <c r="G657" s="45" t="s">
        <v>3476</v>
      </c>
      <c r="H657" s="30" t="s">
        <v>1786</v>
      </c>
      <c r="I657" s="45" t="s">
        <v>154</v>
      </c>
      <c r="J657" s="45" t="s">
        <v>155</v>
      </c>
      <c r="K657" s="50" t="str">
        <f>"00029835"</f>
        <v>00029835</v>
      </c>
    </row>
    <row r="658" spans="1:11" ht="45" customHeight="1">
      <c r="A658" s="30">
        <v>105</v>
      </c>
      <c r="B658" s="45" t="s">
        <v>1733</v>
      </c>
      <c r="C658" s="45" t="s">
        <v>38</v>
      </c>
      <c r="D658" s="46"/>
      <c r="E658" s="47">
        <v>126685</v>
      </c>
      <c r="F658" s="48">
        <v>4</v>
      </c>
      <c r="G658" s="45" t="s">
        <v>3477</v>
      </c>
      <c r="H658" s="30" t="s">
        <v>1374</v>
      </c>
      <c r="I658" s="45" t="s">
        <v>107</v>
      </c>
      <c r="J658" s="45" t="s">
        <v>1780</v>
      </c>
      <c r="K658" s="50" t="str">
        <f>"00028759"</f>
        <v>00028759</v>
      </c>
    </row>
    <row r="659" spans="1:11" ht="45" customHeight="1">
      <c r="A659" s="30">
        <v>105</v>
      </c>
      <c r="B659" s="45" t="s">
        <v>1787</v>
      </c>
      <c r="C659" s="45" t="s">
        <v>38</v>
      </c>
      <c r="D659" s="46"/>
      <c r="E659" s="47">
        <v>60747</v>
      </c>
      <c r="F659" s="48">
        <v>4</v>
      </c>
      <c r="G659" s="51" t="s">
        <v>3478</v>
      </c>
      <c r="H659" s="30" t="s">
        <v>1788</v>
      </c>
      <c r="I659" s="45" t="s">
        <v>111</v>
      </c>
      <c r="J659" s="45" t="s">
        <v>241</v>
      </c>
      <c r="K659" s="50" t="str">
        <f>"00031516"</f>
        <v>00031516</v>
      </c>
    </row>
    <row r="660" spans="1:247" s="4" customFormat="1" ht="45" customHeight="1">
      <c r="A660" s="30">
        <v>105</v>
      </c>
      <c r="B660" s="45" t="s">
        <v>1760</v>
      </c>
      <c r="C660" s="45" t="s">
        <v>38</v>
      </c>
      <c r="D660" s="46"/>
      <c r="E660" s="47">
        <v>92532</v>
      </c>
      <c r="F660" s="48">
        <v>4</v>
      </c>
      <c r="G660" s="45" t="s">
        <v>3479</v>
      </c>
      <c r="H660" s="30" t="s">
        <v>1761</v>
      </c>
      <c r="I660" s="45" t="s">
        <v>107</v>
      </c>
      <c r="J660" s="51" t="s">
        <v>109</v>
      </c>
      <c r="K660" s="50" t="str">
        <f>"00032326"</f>
        <v>00032326</v>
      </c>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c r="BH660" s="3"/>
      <c r="BI660" s="3"/>
      <c r="BJ660" s="3"/>
      <c r="BK660" s="3"/>
      <c r="BL660" s="3"/>
      <c r="BM660" s="3"/>
      <c r="BN660" s="3"/>
      <c r="BO660" s="3"/>
      <c r="BP660" s="3"/>
      <c r="BQ660" s="3"/>
      <c r="BR660" s="3"/>
      <c r="BS660" s="3"/>
      <c r="BT660" s="3"/>
      <c r="BU660" s="3"/>
      <c r="BV660" s="3"/>
      <c r="BW660" s="3"/>
      <c r="BX660" s="3"/>
      <c r="BY660" s="3"/>
      <c r="BZ660" s="3"/>
      <c r="CA660" s="3"/>
      <c r="CB660" s="3"/>
      <c r="CC660" s="3"/>
      <c r="CD660" s="3"/>
      <c r="CE660" s="3"/>
      <c r="CF660" s="3"/>
      <c r="CG660" s="3"/>
      <c r="CH660" s="3"/>
      <c r="CI660" s="3"/>
      <c r="CJ660" s="3"/>
      <c r="CK660" s="3"/>
      <c r="CL660" s="3"/>
      <c r="CM660" s="3"/>
      <c r="CN660" s="3"/>
      <c r="CO660" s="3"/>
      <c r="CP660" s="3"/>
      <c r="CQ660" s="3"/>
      <c r="CR660" s="3"/>
      <c r="CS660" s="3"/>
      <c r="CT660" s="3"/>
      <c r="CU660" s="3"/>
      <c r="CV660" s="3"/>
      <c r="CW660" s="3"/>
      <c r="CX660" s="3"/>
      <c r="CY660" s="3"/>
      <c r="CZ660" s="3"/>
      <c r="DA660" s="3"/>
      <c r="DB660" s="3"/>
      <c r="DC660" s="3"/>
      <c r="DD660" s="3"/>
      <c r="DE660" s="3"/>
      <c r="DF660" s="3"/>
      <c r="DG660" s="3"/>
      <c r="DH660" s="3"/>
      <c r="DI660" s="3"/>
      <c r="DJ660" s="3"/>
      <c r="DK660" s="3"/>
      <c r="DL660" s="3"/>
      <c r="DM660" s="3"/>
      <c r="DN660" s="3"/>
      <c r="DO660" s="3"/>
      <c r="DP660" s="3"/>
      <c r="DQ660" s="3"/>
      <c r="DR660" s="3"/>
      <c r="DS660" s="3"/>
      <c r="DT660" s="3"/>
      <c r="DU660" s="3"/>
      <c r="DV660" s="3"/>
      <c r="DW660" s="3"/>
      <c r="DX660" s="3"/>
      <c r="DY660" s="3"/>
      <c r="DZ660" s="3"/>
      <c r="EA660" s="3"/>
      <c r="EB660" s="3"/>
      <c r="EC660" s="3"/>
      <c r="ED660" s="3"/>
      <c r="EE660" s="3"/>
      <c r="EF660" s="3"/>
      <c r="EG660" s="3"/>
      <c r="EH660" s="3"/>
      <c r="EI660" s="3"/>
      <c r="EJ660" s="3"/>
      <c r="EK660" s="3"/>
      <c r="EL660" s="3"/>
      <c r="EM660" s="3"/>
      <c r="EN660" s="3"/>
      <c r="EO660" s="3"/>
      <c r="EP660" s="3"/>
      <c r="EQ660" s="3"/>
      <c r="ER660" s="3"/>
      <c r="ES660" s="3"/>
      <c r="ET660" s="3"/>
      <c r="EU660" s="3"/>
      <c r="EV660" s="3"/>
      <c r="EW660" s="3"/>
      <c r="EX660" s="3"/>
      <c r="EY660" s="3"/>
      <c r="EZ660" s="3"/>
      <c r="FA660" s="3"/>
      <c r="FB660" s="3"/>
      <c r="FC660" s="3"/>
      <c r="FD660" s="3"/>
      <c r="FE660" s="3"/>
      <c r="FF660" s="3"/>
      <c r="FG660" s="3"/>
      <c r="FH660" s="3"/>
      <c r="FI660" s="3"/>
      <c r="FJ660" s="3"/>
      <c r="FK660" s="3"/>
      <c r="FL660" s="3"/>
      <c r="FM660" s="3"/>
      <c r="FN660" s="3"/>
      <c r="FO660" s="3"/>
      <c r="FP660" s="3"/>
      <c r="FQ660" s="3"/>
      <c r="FR660" s="3"/>
      <c r="FS660" s="3"/>
      <c r="FT660" s="3"/>
      <c r="FU660" s="3"/>
      <c r="FV660" s="3"/>
      <c r="FW660" s="3"/>
      <c r="FX660" s="3"/>
      <c r="FY660" s="3"/>
      <c r="FZ660" s="3"/>
      <c r="GA660" s="3"/>
      <c r="GB660" s="3"/>
      <c r="GC660" s="3"/>
      <c r="GD660" s="3"/>
      <c r="GE660" s="3"/>
      <c r="GF660" s="3"/>
      <c r="GG660" s="3"/>
      <c r="GH660" s="3"/>
      <c r="GI660" s="3"/>
      <c r="GJ660" s="3"/>
      <c r="GK660" s="3"/>
      <c r="GL660" s="3"/>
      <c r="GM660" s="3"/>
      <c r="GN660" s="3"/>
      <c r="GO660" s="3"/>
      <c r="GP660" s="3"/>
      <c r="GQ660" s="3"/>
      <c r="GR660" s="3"/>
      <c r="GS660" s="3"/>
      <c r="GT660" s="3"/>
      <c r="GU660" s="3"/>
      <c r="GV660" s="3"/>
      <c r="GW660" s="3"/>
      <c r="GX660" s="3"/>
      <c r="GY660" s="3"/>
      <c r="GZ660" s="3"/>
      <c r="HA660" s="3"/>
      <c r="HB660" s="3"/>
      <c r="HC660" s="3"/>
      <c r="HD660" s="3"/>
      <c r="HE660" s="3"/>
      <c r="HF660" s="3"/>
      <c r="HG660" s="3"/>
      <c r="HH660" s="3"/>
      <c r="HI660" s="3"/>
      <c r="HJ660" s="3"/>
      <c r="HK660" s="3"/>
      <c r="HL660" s="3"/>
      <c r="HM660" s="3"/>
      <c r="HN660" s="3"/>
      <c r="HO660" s="3"/>
      <c r="HP660" s="3"/>
      <c r="HQ660" s="3"/>
      <c r="HR660" s="3"/>
      <c r="HS660" s="3"/>
      <c r="HT660" s="3"/>
      <c r="HU660" s="3"/>
      <c r="HV660" s="3"/>
      <c r="HW660" s="3"/>
      <c r="HX660" s="3"/>
      <c r="HY660" s="3"/>
      <c r="HZ660" s="3"/>
      <c r="IA660" s="3"/>
      <c r="IB660" s="3"/>
      <c r="IC660" s="3"/>
      <c r="ID660" s="3"/>
      <c r="IE660" s="3"/>
      <c r="IF660" s="3"/>
      <c r="IG660" s="3"/>
      <c r="IH660" s="3"/>
      <c r="II660" s="3"/>
      <c r="IJ660" s="3"/>
      <c r="IK660" s="3"/>
      <c r="IL660" s="3"/>
      <c r="IM660" s="3"/>
    </row>
    <row r="661" spans="1:247" s="4" customFormat="1" ht="45" customHeight="1">
      <c r="A661" s="30">
        <v>105</v>
      </c>
      <c r="B661" s="45" t="s">
        <v>1766</v>
      </c>
      <c r="C661" s="45" t="s">
        <v>38</v>
      </c>
      <c r="D661" s="46"/>
      <c r="E661" s="47">
        <v>120000</v>
      </c>
      <c r="F661" s="48">
        <v>4</v>
      </c>
      <c r="G661" s="45" t="s">
        <v>3480</v>
      </c>
      <c r="H661" s="30" t="s">
        <v>1767</v>
      </c>
      <c r="I661" s="45" t="s">
        <v>107</v>
      </c>
      <c r="J661" s="45" t="s">
        <v>315</v>
      </c>
      <c r="K661" s="50" t="str">
        <f>"00031355"</f>
        <v>00031355</v>
      </c>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c r="BH661" s="3"/>
      <c r="BI661" s="3"/>
      <c r="BJ661" s="3"/>
      <c r="BK661" s="3"/>
      <c r="BL661" s="3"/>
      <c r="BM661" s="3"/>
      <c r="BN661" s="3"/>
      <c r="BO661" s="3"/>
      <c r="BP661" s="3"/>
      <c r="BQ661" s="3"/>
      <c r="BR661" s="3"/>
      <c r="BS661" s="3"/>
      <c r="BT661" s="3"/>
      <c r="BU661" s="3"/>
      <c r="BV661" s="3"/>
      <c r="BW661" s="3"/>
      <c r="BX661" s="3"/>
      <c r="BY661" s="3"/>
      <c r="BZ661" s="3"/>
      <c r="CA661" s="3"/>
      <c r="CB661" s="3"/>
      <c r="CC661" s="3"/>
      <c r="CD661" s="3"/>
      <c r="CE661" s="3"/>
      <c r="CF661" s="3"/>
      <c r="CG661" s="3"/>
      <c r="CH661" s="3"/>
      <c r="CI661" s="3"/>
      <c r="CJ661" s="3"/>
      <c r="CK661" s="3"/>
      <c r="CL661" s="3"/>
      <c r="CM661" s="3"/>
      <c r="CN661" s="3"/>
      <c r="CO661" s="3"/>
      <c r="CP661" s="3"/>
      <c r="CQ661" s="3"/>
      <c r="CR661" s="3"/>
      <c r="CS661" s="3"/>
      <c r="CT661" s="3"/>
      <c r="CU661" s="3"/>
      <c r="CV661" s="3"/>
      <c r="CW661" s="3"/>
      <c r="CX661" s="3"/>
      <c r="CY661" s="3"/>
      <c r="CZ661" s="3"/>
      <c r="DA661" s="3"/>
      <c r="DB661" s="3"/>
      <c r="DC661" s="3"/>
      <c r="DD661" s="3"/>
      <c r="DE661" s="3"/>
      <c r="DF661" s="3"/>
      <c r="DG661" s="3"/>
      <c r="DH661" s="3"/>
      <c r="DI661" s="3"/>
      <c r="DJ661" s="3"/>
      <c r="DK661" s="3"/>
      <c r="DL661" s="3"/>
      <c r="DM661" s="3"/>
      <c r="DN661" s="3"/>
      <c r="DO661" s="3"/>
      <c r="DP661" s="3"/>
      <c r="DQ661" s="3"/>
      <c r="DR661" s="3"/>
      <c r="DS661" s="3"/>
      <c r="DT661" s="3"/>
      <c r="DU661" s="3"/>
      <c r="DV661" s="3"/>
      <c r="DW661" s="3"/>
      <c r="DX661" s="3"/>
      <c r="DY661" s="3"/>
      <c r="DZ661" s="3"/>
      <c r="EA661" s="3"/>
      <c r="EB661" s="3"/>
      <c r="EC661" s="3"/>
      <c r="ED661" s="3"/>
      <c r="EE661" s="3"/>
      <c r="EF661" s="3"/>
      <c r="EG661" s="3"/>
      <c r="EH661" s="3"/>
      <c r="EI661" s="3"/>
      <c r="EJ661" s="3"/>
      <c r="EK661" s="3"/>
      <c r="EL661" s="3"/>
      <c r="EM661" s="3"/>
      <c r="EN661" s="3"/>
      <c r="EO661" s="3"/>
      <c r="EP661" s="3"/>
      <c r="EQ661" s="3"/>
      <c r="ER661" s="3"/>
      <c r="ES661" s="3"/>
      <c r="ET661" s="3"/>
      <c r="EU661" s="3"/>
      <c r="EV661" s="3"/>
      <c r="EW661" s="3"/>
      <c r="EX661" s="3"/>
      <c r="EY661" s="3"/>
      <c r="EZ661" s="3"/>
      <c r="FA661" s="3"/>
      <c r="FB661" s="3"/>
      <c r="FC661" s="3"/>
      <c r="FD661" s="3"/>
      <c r="FE661" s="3"/>
      <c r="FF661" s="3"/>
      <c r="FG661" s="3"/>
      <c r="FH661" s="3"/>
      <c r="FI661" s="3"/>
      <c r="FJ661" s="3"/>
      <c r="FK661" s="3"/>
      <c r="FL661" s="3"/>
      <c r="FM661" s="3"/>
      <c r="FN661" s="3"/>
      <c r="FO661" s="3"/>
      <c r="FP661" s="3"/>
      <c r="FQ661" s="3"/>
      <c r="FR661" s="3"/>
      <c r="FS661" s="3"/>
      <c r="FT661" s="3"/>
      <c r="FU661" s="3"/>
      <c r="FV661" s="3"/>
      <c r="FW661" s="3"/>
      <c r="FX661" s="3"/>
      <c r="FY661" s="3"/>
      <c r="FZ661" s="3"/>
      <c r="GA661" s="3"/>
      <c r="GB661" s="3"/>
      <c r="GC661" s="3"/>
      <c r="GD661" s="3"/>
      <c r="GE661" s="3"/>
      <c r="GF661" s="3"/>
      <c r="GG661" s="3"/>
      <c r="GH661" s="3"/>
      <c r="GI661" s="3"/>
      <c r="GJ661" s="3"/>
      <c r="GK661" s="3"/>
      <c r="GL661" s="3"/>
      <c r="GM661" s="3"/>
      <c r="GN661" s="3"/>
      <c r="GO661" s="3"/>
      <c r="GP661" s="3"/>
      <c r="GQ661" s="3"/>
      <c r="GR661" s="3"/>
      <c r="GS661" s="3"/>
      <c r="GT661" s="3"/>
      <c r="GU661" s="3"/>
      <c r="GV661" s="3"/>
      <c r="GW661" s="3"/>
      <c r="GX661" s="3"/>
      <c r="GY661" s="3"/>
      <c r="GZ661" s="3"/>
      <c r="HA661" s="3"/>
      <c r="HB661" s="3"/>
      <c r="HC661" s="3"/>
      <c r="HD661" s="3"/>
      <c r="HE661" s="3"/>
      <c r="HF661" s="3"/>
      <c r="HG661" s="3"/>
      <c r="HH661" s="3"/>
      <c r="HI661" s="3"/>
      <c r="HJ661" s="3"/>
      <c r="HK661" s="3"/>
      <c r="HL661" s="3"/>
      <c r="HM661" s="3"/>
      <c r="HN661" s="3"/>
      <c r="HO661" s="3"/>
      <c r="HP661" s="3"/>
      <c r="HQ661" s="3"/>
      <c r="HR661" s="3"/>
      <c r="HS661" s="3"/>
      <c r="HT661" s="3"/>
      <c r="HU661" s="3"/>
      <c r="HV661" s="3"/>
      <c r="HW661" s="3"/>
      <c r="HX661" s="3"/>
      <c r="HY661" s="3"/>
      <c r="HZ661" s="3"/>
      <c r="IA661" s="3"/>
      <c r="IB661" s="3"/>
      <c r="IC661" s="3"/>
      <c r="ID661" s="3"/>
      <c r="IE661" s="3"/>
      <c r="IF661" s="3"/>
      <c r="IG661" s="3"/>
      <c r="IH661" s="3"/>
      <c r="II661" s="3"/>
      <c r="IJ661" s="3"/>
      <c r="IK661" s="3"/>
      <c r="IL661" s="3"/>
      <c r="IM661" s="3"/>
    </row>
    <row r="662" spans="1:247" s="4" customFormat="1" ht="45" customHeight="1">
      <c r="A662" s="30">
        <v>105</v>
      </c>
      <c r="B662" s="45" t="s">
        <v>654</v>
      </c>
      <c r="C662" s="45" t="s">
        <v>38</v>
      </c>
      <c r="D662" s="46"/>
      <c r="E662" s="47">
        <v>92558</v>
      </c>
      <c r="F662" s="48">
        <v>4</v>
      </c>
      <c r="G662" s="45" t="s">
        <v>3475</v>
      </c>
      <c r="H662" s="30" t="s">
        <v>1784</v>
      </c>
      <c r="I662" s="45" t="s">
        <v>387</v>
      </c>
      <c r="J662" s="45" t="s">
        <v>1785</v>
      </c>
      <c r="K662" s="50" t="str">
        <f>"00030417"</f>
        <v>00030417</v>
      </c>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c r="BH662" s="3"/>
      <c r="BI662" s="3"/>
      <c r="BJ662" s="3"/>
      <c r="BK662" s="3"/>
      <c r="BL662" s="3"/>
      <c r="BM662" s="3"/>
      <c r="BN662" s="3"/>
      <c r="BO662" s="3"/>
      <c r="BP662" s="3"/>
      <c r="BQ662" s="3"/>
      <c r="BR662" s="3"/>
      <c r="BS662" s="3"/>
      <c r="BT662" s="3"/>
      <c r="BU662" s="3"/>
      <c r="BV662" s="3"/>
      <c r="BW662" s="3"/>
      <c r="BX662" s="3"/>
      <c r="BY662" s="3"/>
      <c r="BZ662" s="3"/>
      <c r="CA662" s="3"/>
      <c r="CB662" s="3"/>
      <c r="CC662" s="3"/>
      <c r="CD662" s="3"/>
      <c r="CE662" s="3"/>
      <c r="CF662" s="3"/>
      <c r="CG662" s="3"/>
      <c r="CH662" s="3"/>
      <c r="CI662" s="3"/>
      <c r="CJ662" s="3"/>
      <c r="CK662" s="3"/>
      <c r="CL662" s="3"/>
      <c r="CM662" s="3"/>
      <c r="CN662" s="3"/>
      <c r="CO662" s="3"/>
      <c r="CP662" s="3"/>
      <c r="CQ662" s="3"/>
      <c r="CR662" s="3"/>
      <c r="CS662" s="3"/>
      <c r="CT662" s="3"/>
      <c r="CU662" s="3"/>
      <c r="CV662" s="3"/>
      <c r="CW662" s="3"/>
      <c r="CX662" s="3"/>
      <c r="CY662" s="3"/>
      <c r="CZ662" s="3"/>
      <c r="DA662" s="3"/>
      <c r="DB662" s="3"/>
      <c r="DC662" s="3"/>
      <c r="DD662" s="3"/>
      <c r="DE662" s="3"/>
      <c r="DF662" s="3"/>
      <c r="DG662" s="3"/>
      <c r="DH662" s="3"/>
      <c r="DI662" s="3"/>
      <c r="DJ662" s="3"/>
      <c r="DK662" s="3"/>
      <c r="DL662" s="3"/>
      <c r="DM662" s="3"/>
      <c r="DN662" s="3"/>
      <c r="DO662" s="3"/>
      <c r="DP662" s="3"/>
      <c r="DQ662" s="3"/>
      <c r="DR662" s="3"/>
      <c r="DS662" s="3"/>
      <c r="DT662" s="3"/>
      <c r="DU662" s="3"/>
      <c r="DV662" s="3"/>
      <c r="DW662" s="3"/>
      <c r="DX662" s="3"/>
      <c r="DY662" s="3"/>
      <c r="DZ662" s="3"/>
      <c r="EA662" s="3"/>
      <c r="EB662" s="3"/>
      <c r="EC662" s="3"/>
      <c r="ED662" s="3"/>
      <c r="EE662" s="3"/>
      <c r="EF662" s="3"/>
      <c r="EG662" s="3"/>
      <c r="EH662" s="3"/>
      <c r="EI662" s="3"/>
      <c r="EJ662" s="3"/>
      <c r="EK662" s="3"/>
      <c r="EL662" s="3"/>
      <c r="EM662" s="3"/>
      <c r="EN662" s="3"/>
      <c r="EO662" s="3"/>
      <c r="EP662" s="3"/>
      <c r="EQ662" s="3"/>
      <c r="ER662" s="3"/>
      <c r="ES662" s="3"/>
      <c r="ET662" s="3"/>
      <c r="EU662" s="3"/>
      <c r="EV662" s="3"/>
      <c r="EW662" s="3"/>
      <c r="EX662" s="3"/>
      <c r="EY662" s="3"/>
      <c r="EZ662" s="3"/>
      <c r="FA662" s="3"/>
      <c r="FB662" s="3"/>
      <c r="FC662" s="3"/>
      <c r="FD662" s="3"/>
      <c r="FE662" s="3"/>
      <c r="FF662" s="3"/>
      <c r="FG662" s="3"/>
      <c r="FH662" s="3"/>
      <c r="FI662" s="3"/>
      <c r="FJ662" s="3"/>
      <c r="FK662" s="3"/>
      <c r="FL662" s="3"/>
      <c r="FM662" s="3"/>
      <c r="FN662" s="3"/>
      <c r="FO662" s="3"/>
      <c r="FP662" s="3"/>
      <c r="FQ662" s="3"/>
      <c r="FR662" s="3"/>
      <c r="FS662" s="3"/>
      <c r="FT662" s="3"/>
      <c r="FU662" s="3"/>
      <c r="FV662" s="3"/>
      <c r="FW662" s="3"/>
      <c r="FX662" s="3"/>
      <c r="FY662" s="3"/>
      <c r="FZ662" s="3"/>
      <c r="GA662" s="3"/>
      <c r="GB662" s="3"/>
      <c r="GC662" s="3"/>
      <c r="GD662" s="3"/>
      <c r="GE662" s="3"/>
      <c r="GF662" s="3"/>
      <c r="GG662" s="3"/>
      <c r="GH662" s="3"/>
      <c r="GI662" s="3"/>
      <c r="GJ662" s="3"/>
      <c r="GK662" s="3"/>
      <c r="GL662" s="3"/>
      <c r="GM662" s="3"/>
      <c r="GN662" s="3"/>
      <c r="GO662" s="3"/>
      <c r="GP662" s="3"/>
      <c r="GQ662" s="3"/>
      <c r="GR662" s="3"/>
      <c r="GS662" s="3"/>
      <c r="GT662" s="3"/>
      <c r="GU662" s="3"/>
      <c r="GV662" s="3"/>
      <c r="GW662" s="3"/>
      <c r="GX662" s="3"/>
      <c r="GY662" s="3"/>
      <c r="GZ662" s="3"/>
      <c r="HA662" s="3"/>
      <c r="HB662" s="3"/>
      <c r="HC662" s="3"/>
      <c r="HD662" s="3"/>
      <c r="HE662" s="3"/>
      <c r="HF662" s="3"/>
      <c r="HG662" s="3"/>
      <c r="HH662" s="3"/>
      <c r="HI662" s="3"/>
      <c r="HJ662" s="3"/>
      <c r="HK662" s="3"/>
      <c r="HL662" s="3"/>
      <c r="HM662" s="3"/>
      <c r="HN662" s="3"/>
      <c r="HO662" s="3"/>
      <c r="HP662" s="3"/>
      <c r="HQ662" s="3"/>
      <c r="HR662" s="3"/>
      <c r="HS662" s="3"/>
      <c r="HT662" s="3"/>
      <c r="HU662" s="3"/>
      <c r="HV662" s="3"/>
      <c r="HW662" s="3"/>
      <c r="HX662" s="3"/>
      <c r="HY662" s="3"/>
      <c r="HZ662" s="3"/>
      <c r="IA662" s="3"/>
      <c r="IB662" s="3"/>
      <c r="IC662" s="3"/>
      <c r="ID662" s="3"/>
      <c r="IE662" s="3"/>
      <c r="IF662" s="3"/>
      <c r="IG662" s="3"/>
      <c r="IH662" s="3"/>
      <c r="II662" s="3"/>
      <c r="IJ662" s="3"/>
      <c r="IK662" s="3"/>
      <c r="IL662" s="3"/>
      <c r="IM662" s="3"/>
    </row>
    <row r="663" spans="1:247" s="4" customFormat="1" ht="45" customHeight="1">
      <c r="A663" s="30">
        <v>105</v>
      </c>
      <c r="B663" s="45" t="s">
        <v>1787</v>
      </c>
      <c r="C663" s="45" t="s">
        <v>38</v>
      </c>
      <c r="D663" s="46"/>
      <c r="E663" s="47">
        <v>89253</v>
      </c>
      <c r="F663" s="48">
        <v>4</v>
      </c>
      <c r="G663" s="45" t="s">
        <v>3481</v>
      </c>
      <c r="H663" s="30" t="s">
        <v>1789</v>
      </c>
      <c r="I663" s="45" t="s">
        <v>177</v>
      </c>
      <c r="J663" s="45" t="s">
        <v>232</v>
      </c>
      <c r="K663" s="50" t="str">
        <f>"00031117"</f>
        <v>00031117</v>
      </c>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c r="BH663" s="3"/>
      <c r="BI663" s="3"/>
      <c r="BJ663" s="3"/>
      <c r="BK663" s="3"/>
      <c r="BL663" s="3"/>
      <c r="BM663" s="3"/>
      <c r="BN663" s="3"/>
      <c r="BO663" s="3"/>
      <c r="BP663" s="3"/>
      <c r="BQ663" s="3"/>
      <c r="BR663" s="3"/>
      <c r="BS663" s="3"/>
      <c r="BT663" s="3"/>
      <c r="BU663" s="3"/>
      <c r="BV663" s="3"/>
      <c r="BW663" s="3"/>
      <c r="BX663" s="3"/>
      <c r="BY663" s="3"/>
      <c r="BZ663" s="3"/>
      <c r="CA663" s="3"/>
      <c r="CB663" s="3"/>
      <c r="CC663" s="3"/>
      <c r="CD663" s="3"/>
      <c r="CE663" s="3"/>
      <c r="CF663" s="3"/>
      <c r="CG663" s="3"/>
      <c r="CH663" s="3"/>
      <c r="CI663" s="3"/>
      <c r="CJ663" s="3"/>
      <c r="CK663" s="3"/>
      <c r="CL663" s="3"/>
      <c r="CM663" s="3"/>
      <c r="CN663" s="3"/>
      <c r="CO663" s="3"/>
      <c r="CP663" s="3"/>
      <c r="CQ663" s="3"/>
      <c r="CR663" s="3"/>
      <c r="CS663" s="3"/>
      <c r="CT663" s="3"/>
      <c r="CU663" s="3"/>
      <c r="CV663" s="3"/>
      <c r="CW663" s="3"/>
      <c r="CX663" s="3"/>
      <c r="CY663" s="3"/>
      <c r="CZ663" s="3"/>
      <c r="DA663" s="3"/>
      <c r="DB663" s="3"/>
      <c r="DC663" s="3"/>
      <c r="DD663" s="3"/>
      <c r="DE663" s="3"/>
      <c r="DF663" s="3"/>
      <c r="DG663" s="3"/>
      <c r="DH663" s="3"/>
      <c r="DI663" s="3"/>
      <c r="DJ663" s="3"/>
      <c r="DK663" s="3"/>
      <c r="DL663" s="3"/>
      <c r="DM663" s="3"/>
      <c r="DN663" s="3"/>
      <c r="DO663" s="3"/>
      <c r="DP663" s="3"/>
      <c r="DQ663" s="3"/>
      <c r="DR663" s="3"/>
      <c r="DS663" s="3"/>
      <c r="DT663" s="3"/>
      <c r="DU663" s="3"/>
      <c r="DV663" s="3"/>
      <c r="DW663" s="3"/>
      <c r="DX663" s="3"/>
      <c r="DY663" s="3"/>
      <c r="DZ663" s="3"/>
      <c r="EA663" s="3"/>
      <c r="EB663" s="3"/>
      <c r="EC663" s="3"/>
      <c r="ED663" s="3"/>
      <c r="EE663" s="3"/>
      <c r="EF663" s="3"/>
      <c r="EG663" s="3"/>
      <c r="EH663" s="3"/>
      <c r="EI663" s="3"/>
      <c r="EJ663" s="3"/>
      <c r="EK663" s="3"/>
      <c r="EL663" s="3"/>
      <c r="EM663" s="3"/>
      <c r="EN663" s="3"/>
      <c r="EO663" s="3"/>
      <c r="EP663" s="3"/>
      <c r="EQ663" s="3"/>
      <c r="ER663" s="3"/>
      <c r="ES663" s="3"/>
      <c r="ET663" s="3"/>
      <c r="EU663" s="3"/>
      <c r="EV663" s="3"/>
      <c r="EW663" s="3"/>
      <c r="EX663" s="3"/>
      <c r="EY663" s="3"/>
      <c r="EZ663" s="3"/>
      <c r="FA663" s="3"/>
      <c r="FB663" s="3"/>
      <c r="FC663" s="3"/>
      <c r="FD663" s="3"/>
      <c r="FE663" s="3"/>
      <c r="FF663" s="3"/>
      <c r="FG663" s="3"/>
      <c r="FH663" s="3"/>
      <c r="FI663" s="3"/>
      <c r="FJ663" s="3"/>
      <c r="FK663" s="3"/>
      <c r="FL663" s="3"/>
      <c r="FM663" s="3"/>
      <c r="FN663" s="3"/>
      <c r="FO663" s="3"/>
      <c r="FP663" s="3"/>
      <c r="FQ663" s="3"/>
      <c r="FR663" s="3"/>
      <c r="FS663" s="3"/>
      <c r="FT663" s="3"/>
      <c r="FU663" s="3"/>
      <c r="FV663" s="3"/>
      <c r="FW663" s="3"/>
      <c r="FX663" s="3"/>
      <c r="FY663" s="3"/>
      <c r="FZ663" s="3"/>
      <c r="GA663" s="3"/>
      <c r="GB663" s="3"/>
      <c r="GC663" s="3"/>
      <c r="GD663" s="3"/>
      <c r="GE663" s="3"/>
      <c r="GF663" s="3"/>
      <c r="GG663" s="3"/>
      <c r="GH663" s="3"/>
      <c r="GI663" s="3"/>
      <c r="GJ663" s="3"/>
      <c r="GK663" s="3"/>
      <c r="GL663" s="3"/>
      <c r="GM663" s="3"/>
      <c r="GN663" s="3"/>
      <c r="GO663" s="3"/>
      <c r="GP663" s="3"/>
      <c r="GQ663" s="3"/>
      <c r="GR663" s="3"/>
      <c r="GS663" s="3"/>
      <c r="GT663" s="3"/>
      <c r="GU663" s="3"/>
      <c r="GV663" s="3"/>
      <c r="GW663" s="3"/>
      <c r="GX663" s="3"/>
      <c r="GY663" s="3"/>
      <c r="GZ663" s="3"/>
      <c r="HA663" s="3"/>
      <c r="HB663" s="3"/>
      <c r="HC663" s="3"/>
      <c r="HD663" s="3"/>
      <c r="HE663" s="3"/>
      <c r="HF663" s="3"/>
      <c r="HG663" s="3"/>
      <c r="HH663" s="3"/>
      <c r="HI663" s="3"/>
      <c r="HJ663" s="3"/>
      <c r="HK663" s="3"/>
      <c r="HL663" s="3"/>
      <c r="HM663" s="3"/>
      <c r="HN663" s="3"/>
      <c r="HO663" s="3"/>
      <c r="HP663" s="3"/>
      <c r="HQ663" s="3"/>
      <c r="HR663" s="3"/>
      <c r="HS663" s="3"/>
      <c r="HT663" s="3"/>
      <c r="HU663" s="3"/>
      <c r="HV663" s="3"/>
      <c r="HW663" s="3"/>
      <c r="HX663" s="3"/>
      <c r="HY663" s="3"/>
      <c r="HZ663" s="3"/>
      <c r="IA663" s="3"/>
      <c r="IB663" s="3"/>
      <c r="IC663" s="3"/>
      <c r="ID663" s="3"/>
      <c r="IE663" s="3"/>
      <c r="IF663" s="3"/>
      <c r="IG663" s="3"/>
      <c r="IH663" s="3"/>
      <c r="II663" s="3"/>
      <c r="IJ663" s="3"/>
      <c r="IK663" s="3"/>
      <c r="IL663" s="3"/>
      <c r="IM663" s="3"/>
    </row>
    <row r="664" spans="1:247" s="4" customFormat="1" ht="45" customHeight="1">
      <c r="A664" s="30">
        <v>105</v>
      </c>
      <c r="B664" s="45" t="s">
        <v>1771</v>
      </c>
      <c r="C664" s="45" t="s">
        <v>38</v>
      </c>
      <c r="D664" s="46"/>
      <c r="E664" s="47">
        <v>95517</v>
      </c>
      <c r="F664" s="48">
        <v>4</v>
      </c>
      <c r="G664" s="51" t="s">
        <v>3482</v>
      </c>
      <c r="H664" s="30" t="s">
        <v>1772</v>
      </c>
      <c r="I664" s="45" t="s">
        <v>120</v>
      </c>
      <c r="J664" s="45" t="s">
        <v>120</v>
      </c>
      <c r="K664" s="50" t="str">
        <f>"00031651"</f>
        <v>00031651</v>
      </c>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c r="BW664" s="3"/>
      <c r="BX664" s="3"/>
      <c r="BY664" s="3"/>
      <c r="BZ664" s="3"/>
      <c r="CA664" s="3"/>
      <c r="CB664" s="3"/>
      <c r="CC664" s="3"/>
      <c r="CD664" s="3"/>
      <c r="CE664" s="3"/>
      <c r="CF664" s="3"/>
      <c r="CG664" s="3"/>
      <c r="CH664" s="3"/>
      <c r="CI664" s="3"/>
      <c r="CJ664" s="3"/>
      <c r="CK664" s="3"/>
      <c r="CL664" s="3"/>
      <c r="CM664" s="3"/>
      <c r="CN664" s="3"/>
      <c r="CO664" s="3"/>
      <c r="CP664" s="3"/>
      <c r="CQ664" s="3"/>
      <c r="CR664" s="3"/>
      <c r="CS664" s="3"/>
      <c r="CT664" s="3"/>
      <c r="CU664" s="3"/>
      <c r="CV664" s="3"/>
      <c r="CW664" s="3"/>
      <c r="CX664" s="3"/>
      <c r="CY664" s="3"/>
      <c r="CZ664" s="3"/>
      <c r="DA664" s="3"/>
      <c r="DB664" s="3"/>
      <c r="DC664" s="3"/>
      <c r="DD664" s="3"/>
      <c r="DE664" s="3"/>
      <c r="DF664" s="3"/>
      <c r="DG664" s="3"/>
      <c r="DH664" s="3"/>
      <c r="DI664" s="3"/>
      <c r="DJ664" s="3"/>
      <c r="DK664" s="3"/>
      <c r="DL664" s="3"/>
      <c r="DM664" s="3"/>
      <c r="DN664" s="3"/>
      <c r="DO664" s="3"/>
      <c r="DP664" s="3"/>
      <c r="DQ664" s="3"/>
      <c r="DR664" s="3"/>
      <c r="DS664" s="3"/>
      <c r="DT664" s="3"/>
      <c r="DU664" s="3"/>
      <c r="DV664" s="3"/>
      <c r="DW664" s="3"/>
      <c r="DX664" s="3"/>
      <c r="DY664" s="3"/>
      <c r="DZ664" s="3"/>
      <c r="EA664" s="3"/>
      <c r="EB664" s="3"/>
      <c r="EC664" s="3"/>
      <c r="ED664" s="3"/>
      <c r="EE664" s="3"/>
      <c r="EF664" s="3"/>
      <c r="EG664" s="3"/>
      <c r="EH664" s="3"/>
      <c r="EI664" s="3"/>
      <c r="EJ664" s="3"/>
      <c r="EK664" s="3"/>
      <c r="EL664" s="3"/>
      <c r="EM664" s="3"/>
      <c r="EN664" s="3"/>
      <c r="EO664" s="3"/>
      <c r="EP664" s="3"/>
      <c r="EQ664" s="3"/>
      <c r="ER664" s="3"/>
      <c r="ES664" s="3"/>
      <c r="ET664" s="3"/>
      <c r="EU664" s="3"/>
      <c r="EV664" s="3"/>
      <c r="EW664" s="3"/>
      <c r="EX664" s="3"/>
      <c r="EY664" s="3"/>
      <c r="EZ664" s="3"/>
      <c r="FA664" s="3"/>
      <c r="FB664" s="3"/>
      <c r="FC664" s="3"/>
      <c r="FD664" s="3"/>
      <c r="FE664" s="3"/>
      <c r="FF664" s="3"/>
      <c r="FG664" s="3"/>
      <c r="FH664" s="3"/>
      <c r="FI664" s="3"/>
      <c r="FJ664" s="3"/>
      <c r="FK664" s="3"/>
      <c r="FL664" s="3"/>
      <c r="FM664" s="3"/>
      <c r="FN664" s="3"/>
      <c r="FO664" s="3"/>
      <c r="FP664" s="3"/>
      <c r="FQ664" s="3"/>
      <c r="FR664" s="3"/>
      <c r="FS664" s="3"/>
      <c r="FT664" s="3"/>
      <c r="FU664" s="3"/>
      <c r="FV664" s="3"/>
      <c r="FW664" s="3"/>
      <c r="FX664" s="3"/>
      <c r="FY664" s="3"/>
      <c r="FZ664" s="3"/>
      <c r="GA664" s="3"/>
      <c r="GB664" s="3"/>
      <c r="GC664" s="3"/>
      <c r="GD664" s="3"/>
      <c r="GE664" s="3"/>
      <c r="GF664" s="3"/>
      <c r="GG664" s="3"/>
      <c r="GH664" s="3"/>
      <c r="GI664" s="3"/>
      <c r="GJ664" s="3"/>
      <c r="GK664" s="3"/>
      <c r="GL664" s="3"/>
      <c r="GM664" s="3"/>
      <c r="GN664" s="3"/>
      <c r="GO664" s="3"/>
      <c r="GP664" s="3"/>
      <c r="GQ664" s="3"/>
      <c r="GR664" s="3"/>
      <c r="GS664" s="3"/>
      <c r="GT664" s="3"/>
      <c r="GU664" s="3"/>
      <c r="GV664" s="3"/>
      <c r="GW664" s="3"/>
      <c r="GX664" s="3"/>
      <c r="GY664" s="3"/>
      <c r="GZ664" s="3"/>
      <c r="HA664" s="3"/>
      <c r="HB664" s="3"/>
      <c r="HC664" s="3"/>
      <c r="HD664" s="3"/>
      <c r="HE664" s="3"/>
      <c r="HF664" s="3"/>
      <c r="HG664" s="3"/>
      <c r="HH664" s="3"/>
      <c r="HI664" s="3"/>
      <c r="HJ664" s="3"/>
      <c r="HK664" s="3"/>
      <c r="HL664" s="3"/>
      <c r="HM664" s="3"/>
      <c r="HN664" s="3"/>
      <c r="HO664" s="3"/>
      <c r="HP664" s="3"/>
      <c r="HQ664" s="3"/>
      <c r="HR664" s="3"/>
      <c r="HS664" s="3"/>
      <c r="HT664" s="3"/>
      <c r="HU664" s="3"/>
      <c r="HV664" s="3"/>
      <c r="HW664" s="3"/>
      <c r="HX664" s="3"/>
      <c r="HY664" s="3"/>
      <c r="HZ664" s="3"/>
      <c r="IA664" s="3"/>
      <c r="IB664" s="3"/>
      <c r="IC664" s="3"/>
      <c r="ID664" s="3"/>
      <c r="IE664" s="3"/>
      <c r="IF664" s="3"/>
      <c r="IG664" s="3"/>
      <c r="IH664" s="3"/>
      <c r="II664" s="3"/>
      <c r="IJ664" s="3"/>
      <c r="IK664" s="3"/>
      <c r="IL664" s="3"/>
      <c r="IM664" s="3"/>
    </row>
    <row r="665" spans="1:247" s="4" customFormat="1" ht="45" customHeight="1">
      <c r="A665" s="30">
        <v>105</v>
      </c>
      <c r="B665" s="45" t="s">
        <v>1768</v>
      </c>
      <c r="C665" s="45" t="s">
        <v>38</v>
      </c>
      <c r="D665" s="46"/>
      <c r="E665" s="47">
        <v>197995</v>
      </c>
      <c r="F665" s="48">
        <v>4</v>
      </c>
      <c r="G665" s="49" t="s">
        <v>3483</v>
      </c>
      <c r="H665" s="30" t="s">
        <v>1769</v>
      </c>
      <c r="I665" s="45" t="s">
        <v>107</v>
      </c>
      <c r="J665" s="52" t="s">
        <v>1770</v>
      </c>
      <c r="K665" s="50" t="str">
        <f>"00030999"</f>
        <v>00030999</v>
      </c>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c r="BW665" s="3"/>
      <c r="BX665" s="3"/>
      <c r="BY665" s="3"/>
      <c r="BZ665" s="3"/>
      <c r="CA665" s="3"/>
      <c r="CB665" s="3"/>
      <c r="CC665" s="3"/>
      <c r="CD665" s="3"/>
      <c r="CE665" s="3"/>
      <c r="CF665" s="3"/>
      <c r="CG665" s="3"/>
      <c r="CH665" s="3"/>
      <c r="CI665" s="3"/>
      <c r="CJ665" s="3"/>
      <c r="CK665" s="3"/>
      <c r="CL665" s="3"/>
      <c r="CM665" s="3"/>
      <c r="CN665" s="3"/>
      <c r="CO665" s="3"/>
      <c r="CP665" s="3"/>
      <c r="CQ665" s="3"/>
      <c r="CR665" s="3"/>
      <c r="CS665" s="3"/>
      <c r="CT665" s="3"/>
      <c r="CU665" s="3"/>
      <c r="CV665" s="3"/>
      <c r="CW665" s="3"/>
      <c r="CX665" s="3"/>
      <c r="CY665" s="3"/>
      <c r="CZ665" s="3"/>
      <c r="DA665" s="3"/>
      <c r="DB665" s="3"/>
      <c r="DC665" s="3"/>
      <c r="DD665" s="3"/>
      <c r="DE665" s="3"/>
      <c r="DF665" s="3"/>
      <c r="DG665" s="3"/>
      <c r="DH665" s="3"/>
      <c r="DI665" s="3"/>
      <c r="DJ665" s="3"/>
      <c r="DK665" s="3"/>
      <c r="DL665" s="3"/>
      <c r="DM665" s="3"/>
      <c r="DN665" s="3"/>
      <c r="DO665" s="3"/>
      <c r="DP665" s="3"/>
      <c r="DQ665" s="3"/>
      <c r="DR665" s="3"/>
      <c r="DS665" s="3"/>
      <c r="DT665" s="3"/>
      <c r="DU665" s="3"/>
      <c r="DV665" s="3"/>
      <c r="DW665" s="3"/>
      <c r="DX665" s="3"/>
      <c r="DY665" s="3"/>
      <c r="DZ665" s="3"/>
      <c r="EA665" s="3"/>
      <c r="EB665" s="3"/>
      <c r="EC665" s="3"/>
      <c r="ED665" s="3"/>
      <c r="EE665" s="3"/>
      <c r="EF665" s="3"/>
      <c r="EG665" s="3"/>
      <c r="EH665" s="3"/>
      <c r="EI665" s="3"/>
      <c r="EJ665" s="3"/>
      <c r="EK665" s="3"/>
      <c r="EL665" s="3"/>
      <c r="EM665" s="3"/>
      <c r="EN665" s="3"/>
      <c r="EO665" s="3"/>
      <c r="EP665" s="3"/>
      <c r="EQ665" s="3"/>
      <c r="ER665" s="3"/>
      <c r="ES665" s="3"/>
      <c r="ET665" s="3"/>
      <c r="EU665" s="3"/>
      <c r="EV665" s="3"/>
      <c r="EW665" s="3"/>
      <c r="EX665" s="3"/>
      <c r="EY665" s="3"/>
      <c r="EZ665" s="3"/>
      <c r="FA665" s="3"/>
      <c r="FB665" s="3"/>
      <c r="FC665" s="3"/>
      <c r="FD665" s="3"/>
      <c r="FE665" s="3"/>
      <c r="FF665" s="3"/>
      <c r="FG665" s="3"/>
      <c r="FH665" s="3"/>
      <c r="FI665" s="3"/>
      <c r="FJ665" s="3"/>
      <c r="FK665" s="3"/>
      <c r="FL665" s="3"/>
      <c r="FM665" s="3"/>
      <c r="FN665" s="3"/>
      <c r="FO665" s="3"/>
      <c r="FP665" s="3"/>
      <c r="FQ665" s="3"/>
      <c r="FR665" s="3"/>
      <c r="FS665" s="3"/>
      <c r="FT665" s="3"/>
      <c r="FU665" s="3"/>
      <c r="FV665" s="3"/>
      <c r="FW665" s="3"/>
      <c r="FX665" s="3"/>
      <c r="FY665" s="3"/>
      <c r="FZ665" s="3"/>
      <c r="GA665" s="3"/>
      <c r="GB665" s="3"/>
      <c r="GC665" s="3"/>
      <c r="GD665" s="3"/>
      <c r="GE665" s="3"/>
      <c r="GF665" s="3"/>
      <c r="GG665" s="3"/>
      <c r="GH665" s="3"/>
      <c r="GI665" s="3"/>
      <c r="GJ665" s="3"/>
      <c r="GK665" s="3"/>
      <c r="GL665" s="3"/>
      <c r="GM665" s="3"/>
      <c r="GN665" s="3"/>
      <c r="GO665" s="3"/>
      <c r="GP665" s="3"/>
      <c r="GQ665" s="3"/>
      <c r="GR665" s="3"/>
      <c r="GS665" s="3"/>
      <c r="GT665" s="3"/>
      <c r="GU665" s="3"/>
      <c r="GV665" s="3"/>
      <c r="GW665" s="3"/>
      <c r="GX665" s="3"/>
      <c r="GY665" s="3"/>
      <c r="GZ665" s="3"/>
      <c r="HA665" s="3"/>
      <c r="HB665" s="3"/>
      <c r="HC665" s="3"/>
      <c r="HD665" s="3"/>
      <c r="HE665" s="3"/>
      <c r="HF665" s="3"/>
      <c r="HG665" s="3"/>
      <c r="HH665" s="3"/>
      <c r="HI665" s="3"/>
      <c r="HJ665" s="3"/>
      <c r="HK665" s="3"/>
      <c r="HL665" s="3"/>
      <c r="HM665" s="3"/>
      <c r="HN665" s="3"/>
      <c r="HO665" s="3"/>
      <c r="HP665" s="3"/>
      <c r="HQ665" s="3"/>
      <c r="HR665" s="3"/>
      <c r="HS665" s="3"/>
      <c r="HT665" s="3"/>
      <c r="HU665" s="3"/>
      <c r="HV665" s="3"/>
      <c r="HW665" s="3"/>
      <c r="HX665" s="3"/>
      <c r="HY665" s="3"/>
      <c r="HZ665" s="3"/>
      <c r="IA665" s="3"/>
      <c r="IB665" s="3"/>
      <c r="IC665" s="3"/>
      <c r="ID665" s="3"/>
      <c r="IE665" s="3"/>
      <c r="IF665" s="3"/>
      <c r="IG665" s="3"/>
      <c r="IH665" s="3"/>
      <c r="II665" s="3"/>
      <c r="IJ665" s="3"/>
      <c r="IK665" s="3"/>
      <c r="IL665" s="3"/>
      <c r="IM665" s="3"/>
    </row>
    <row r="666" spans="1:247" s="4" customFormat="1" ht="45" customHeight="1">
      <c r="A666" s="30">
        <v>105</v>
      </c>
      <c r="B666" s="45" t="s">
        <v>1750</v>
      </c>
      <c r="C666" s="45" t="s">
        <v>38</v>
      </c>
      <c r="D666" s="46"/>
      <c r="E666" s="47">
        <v>80000</v>
      </c>
      <c r="F666" s="48">
        <v>4</v>
      </c>
      <c r="G666" s="45" t="s">
        <v>3484</v>
      </c>
      <c r="H666" s="30" t="s">
        <v>1765</v>
      </c>
      <c r="I666" s="45" t="s">
        <v>107</v>
      </c>
      <c r="J666" s="51" t="s">
        <v>109</v>
      </c>
      <c r="K666" s="50" t="str">
        <f>"00032413"</f>
        <v>00032413</v>
      </c>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c r="BW666" s="3"/>
      <c r="BX666" s="3"/>
      <c r="BY666" s="3"/>
      <c r="BZ666" s="3"/>
      <c r="CA666" s="3"/>
      <c r="CB666" s="3"/>
      <c r="CC666" s="3"/>
      <c r="CD666" s="3"/>
      <c r="CE666" s="3"/>
      <c r="CF666" s="3"/>
      <c r="CG666" s="3"/>
      <c r="CH666" s="3"/>
      <c r="CI666" s="3"/>
      <c r="CJ666" s="3"/>
      <c r="CK666" s="3"/>
      <c r="CL666" s="3"/>
      <c r="CM666" s="3"/>
      <c r="CN666" s="3"/>
      <c r="CO666" s="3"/>
      <c r="CP666" s="3"/>
      <c r="CQ666" s="3"/>
      <c r="CR666" s="3"/>
      <c r="CS666" s="3"/>
      <c r="CT666" s="3"/>
      <c r="CU666" s="3"/>
      <c r="CV666" s="3"/>
      <c r="CW666" s="3"/>
      <c r="CX666" s="3"/>
      <c r="CY666" s="3"/>
      <c r="CZ666" s="3"/>
      <c r="DA666" s="3"/>
      <c r="DB666" s="3"/>
      <c r="DC666" s="3"/>
      <c r="DD666" s="3"/>
      <c r="DE666" s="3"/>
      <c r="DF666" s="3"/>
      <c r="DG666" s="3"/>
      <c r="DH666" s="3"/>
      <c r="DI666" s="3"/>
      <c r="DJ666" s="3"/>
      <c r="DK666" s="3"/>
      <c r="DL666" s="3"/>
      <c r="DM666" s="3"/>
      <c r="DN666" s="3"/>
      <c r="DO666" s="3"/>
      <c r="DP666" s="3"/>
      <c r="DQ666" s="3"/>
      <c r="DR666" s="3"/>
      <c r="DS666" s="3"/>
      <c r="DT666" s="3"/>
      <c r="DU666" s="3"/>
      <c r="DV666" s="3"/>
      <c r="DW666" s="3"/>
      <c r="DX666" s="3"/>
      <c r="DY666" s="3"/>
      <c r="DZ666" s="3"/>
      <c r="EA666" s="3"/>
      <c r="EB666" s="3"/>
      <c r="EC666" s="3"/>
      <c r="ED666" s="3"/>
      <c r="EE666" s="3"/>
      <c r="EF666" s="3"/>
      <c r="EG666" s="3"/>
      <c r="EH666" s="3"/>
      <c r="EI666" s="3"/>
      <c r="EJ666" s="3"/>
      <c r="EK666" s="3"/>
      <c r="EL666" s="3"/>
      <c r="EM666" s="3"/>
      <c r="EN666" s="3"/>
      <c r="EO666" s="3"/>
      <c r="EP666" s="3"/>
      <c r="EQ666" s="3"/>
      <c r="ER666" s="3"/>
      <c r="ES666" s="3"/>
      <c r="ET666" s="3"/>
      <c r="EU666" s="3"/>
      <c r="EV666" s="3"/>
      <c r="EW666" s="3"/>
      <c r="EX666" s="3"/>
      <c r="EY666" s="3"/>
      <c r="EZ666" s="3"/>
      <c r="FA666" s="3"/>
      <c r="FB666" s="3"/>
      <c r="FC666" s="3"/>
      <c r="FD666" s="3"/>
      <c r="FE666" s="3"/>
      <c r="FF666" s="3"/>
      <c r="FG666" s="3"/>
      <c r="FH666" s="3"/>
      <c r="FI666" s="3"/>
      <c r="FJ666" s="3"/>
      <c r="FK666" s="3"/>
      <c r="FL666" s="3"/>
      <c r="FM666" s="3"/>
      <c r="FN666" s="3"/>
      <c r="FO666" s="3"/>
      <c r="FP666" s="3"/>
      <c r="FQ666" s="3"/>
      <c r="FR666" s="3"/>
      <c r="FS666" s="3"/>
      <c r="FT666" s="3"/>
      <c r="FU666" s="3"/>
      <c r="FV666" s="3"/>
      <c r="FW666" s="3"/>
      <c r="FX666" s="3"/>
      <c r="FY666" s="3"/>
      <c r="FZ666" s="3"/>
      <c r="GA666" s="3"/>
      <c r="GB666" s="3"/>
      <c r="GC666" s="3"/>
      <c r="GD666" s="3"/>
      <c r="GE666" s="3"/>
      <c r="GF666" s="3"/>
      <c r="GG666" s="3"/>
      <c r="GH666" s="3"/>
      <c r="GI666" s="3"/>
      <c r="GJ666" s="3"/>
      <c r="GK666" s="3"/>
      <c r="GL666" s="3"/>
      <c r="GM666" s="3"/>
      <c r="GN666" s="3"/>
      <c r="GO666" s="3"/>
      <c r="GP666" s="3"/>
      <c r="GQ666" s="3"/>
      <c r="GR666" s="3"/>
      <c r="GS666" s="3"/>
      <c r="GT666" s="3"/>
      <c r="GU666" s="3"/>
      <c r="GV666" s="3"/>
      <c r="GW666" s="3"/>
      <c r="GX666" s="3"/>
      <c r="GY666" s="3"/>
      <c r="GZ666" s="3"/>
      <c r="HA666" s="3"/>
      <c r="HB666" s="3"/>
      <c r="HC666" s="3"/>
      <c r="HD666" s="3"/>
      <c r="HE666" s="3"/>
      <c r="HF666" s="3"/>
      <c r="HG666" s="3"/>
      <c r="HH666" s="3"/>
      <c r="HI666" s="3"/>
      <c r="HJ666" s="3"/>
      <c r="HK666" s="3"/>
      <c r="HL666" s="3"/>
      <c r="HM666" s="3"/>
      <c r="HN666" s="3"/>
      <c r="HO666" s="3"/>
      <c r="HP666" s="3"/>
      <c r="HQ666" s="3"/>
      <c r="HR666" s="3"/>
      <c r="HS666" s="3"/>
      <c r="HT666" s="3"/>
      <c r="HU666" s="3"/>
      <c r="HV666" s="3"/>
      <c r="HW666" s="3"/>
      <c r="HX666" s="3"/>
      <c r="HY666" s="3"/>
      <c r="HZ666" s="3"/>
      <c r="IA666" s="3"/>
      <c r="IB666" s="3"/>
      <c r="IC666" s="3"/>
      <c r="ID666" s="3"/>
      <c r="IE666" s="3"/>
      <c r="IF666" s="3"/>
      <c r="IG666" s="3"/>
      <c r="IH666" s="3"/>
      <c r="II666" s="3"/>
      <c r="IJ666" s="3"/>
      <c r="IK666" s="3"/>
      <c r="IL666" s="3"/>
      <c r="IM666" s="3"/>
    </row>
    <row r="667" spans="1:247" s="4" customFormat="1" ht="45" customHeight="1">
      <c r="A667" s="30">
        <v>105</v>
      </c>
      <c r="B667" s="45" t="s">
        <v>1760</v>
      </c>
      <c r="C667" s="45" t="s">
        <v>38</v>
      </c>
      <c r="D667" s="46"/>
      <c r="E667" s="47">
        <v>83180</v>
      </c>
      <c r="F667" s="48">
        <v>4</v>
      </c>
      <c r="G667" s="45" t="s">
        <v>3485</v>
      </c>
      <c r="H667" s="30" t="s">
        <v>1762</v>
      </c>
      <c r="I667" s="45" t="s">
        <v>107</v>
      </c>
      <c r="J667" s="51" t="s">
        <v>109</v>
      </c>
      <c r="K667" s="50" t="str">
        <f>"00032350"</f>
        <v>00032350</v>
      </c>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c r="BX667" s="3"/>
      <c r="BY667" s="3"/>
      <c r="BZ667" s="3"/>
      <c r="CA667" s="3"/>
      <c r="CB667" s="3"/>
      <c r="CC667" s="3"/>
      <c r="CD667" s="3"/>
      <c r="CE667" s="3"/>
      <c r="CF667" s="3"/>
      <c r="CG667" s="3"/>
      <c r="CH667" s="3"/>
      <c r="CI667" s="3"/>
      <c r="CJ667" s="3"/>
      <c r="CK667" s="3"/>
      <c r="CL667" s="3"/>
      <c r="CM667" s="3"/>
      <c r="CN667" s="3"/>
      <c r="CO667" s="3"/>
      <c r="CP667" s="3"/>
      <c r="CQ667" s="3"/>
      <c r="CR667" s="3"/>
      <c r="CS667" s="3"/>
      <c r="CT667" s="3"/>
      <c r="CU667" s="3"/>
      <c r="CV667" s="3"/>
      <c r="CW667" s="3"/>
      <c r="CX667" s="3"/>
      <c r="CY667" s="3"/>
      <c r="CZ667" s="3"/>
      <c r="DA667" s="3"/>
      <c r="DB667" s="3"/>
      <c r="DC667" s="3"/>
      <c r="DD667" s="3"/>
      <c r="DE667" s="3"/>
      <c r="DF667" s="3"/>
      <c r="DG667" s="3"/>
      <c r="DH667" s="3"/>
      <c r="DI667" s="3"/>
      <c r="DJ667" s="3"/>
      <c r="DK667" s="3"/>
      <c r="DL667" s="3"/>
      <c r="DM667" s="3"/>
      <c r="DN667" s="3"/>
      <c r="DO667" s="3"/>
      <c r="DP667" s="3"/>
      <c r="DQ667" s="3"/>
      <c r="DR667" s="3"/>
      <c r="DS667" s="3"/>
      <c r="DT667" s="3"/>
      <c r="DU667" s="3"/>
      <c r="DV667" s="3"/>
      <c r="DW667" s="3"/>
      <c r="DX667" s="3"/>
      <c r="DY667" s="3"/>
      <c r="DZ667" s="3"/>
      <c r="EA667" s="3"/>
      <c r="EB667" s="3"/>
      <c r="EC667" s="3"/>
      <c r="ED667" s="3"/>
      <c r="EE667" s="3"/>
      <c r="EF667" s="3"/>
      <c r="EG667" s="3"/>
      <c r="EH667" s="3"/>
      <c r="EI667" s="3"/>
      <c r="EJ667" s="3"/>
      <c r="EK667" s="3"/>
      <c r="EL667" s="3"/>
      <c r="EM667" s="3"/>
      <c r="EN667" s="3"/>
      <c r="EO667" s="3"/>
      <c r="EP667" s="3"/>
      <c r="EQ667" s="3"/>
      <c r="ER667" s="3"/>
      <c r="ES667" s="3"/>
      <c r="ET667" s="3"/>
      <c r="EU667" s="3"/>
      <c r="EV667" s="3"/>
      <c r="EW667" s="3"/>
      <c r="EX667" s="3"/>
      <c r="EY667" s="3"/>
      <c r="EZ667" s="3"/>
      <c r="FA667" s="3"/>
      <c r="FB667" s="3"/>
      <c r="FC667" s="3"/>
      <c r="FD667" s="3"/>
      <c r="FE667" s="3"/>
      <c r="FF667" s="3"/>
      <c r="FG667" s="3"/>
      <c r="FH667" s="3"/>
      <c r="FI667" s="3"/>
      <c r="FJ667" s="3"/>
      <c r="FK667" s="3"/>
      <c r="FL667" s="3"/>
      <c r="FM667" s="3"/>
      <c r="FN667" s="3"/>
      <c r="FO667" s="3"/>
      <c r="FP667" s="3"/>
      <c r="FQ667" s="3"/>
      <c r="FR667" s="3"/>
      <c r="FS667" s="3"/>
      <c r="FT667" s="3"/>
      <c r="FU667" s="3"/>
      <c r="FV667" s="3"/>
      <c r="FW667" s="3"/>
      <c r="FX667" s="3"/>
      <c r="FY667" s="3"/>
      <c r="FZ667" s="3"/>
      <c r="GA667" s="3"/>
      <c r="GB667" s="3"/>
      <c r="GC667" s="3"/>
      <c r="GD667" s="3"/>
      <c r="GE667" s="3"/>
      <c r="GF667" s="3"/>
      <c r="GG667" s="3"/>
      <c r="GH667" s="3"/>
      <c r="GI667" s="3"/>
      <c r="GJ667" s="3"/>
      <c r="GK667" s="3"/>
      <c r="GL667" s="3"/>
      <c r="GM667" s="3"/>
      <c r="GN667" s="3"/>
      <c r="GO667" s="3"/>
      <c r="GP667" s="3"/>
      <c r="GQ667" s="3"/>
      <c r="GR667" s="3"/>
      <c r="GS667" s="3"/>
      <c r="GT667" s="3"/>
      <c r="GU667" s="3"/>
      <c r="GV667" s="3"/>
      <c r="GW667" s="3"/>
      <c r="GX667" s="3"/>
      <c r="GY667" s="3"/>
      <c r="GZ667" s="3"/>
      <c r="HA667" s="3"/>
      <c r="HB667" s="3"/>
      <c r="HC667" s="3"/>
      <c r="HD667" s="3"/>
      <c r="HE667" s="3"/>
      <c r="HF667" s="3"/>
      <c r="HG667" s="3"/>
      <c r="HH667" s="3"/>
      <c r="HI667" s="3"/>
      <c r="HJ667" s="3"/>
      <c r="HK667" s="3"/>
      <c r="HL667" s="3"/>
      <c r="HM667" s="3"/>
      <c r="HN667" s="3"/>
      <c r="HO667" s="3"/>
      <c r="HP667" s="3"/>
      <c r="HQ667" s="3"/>
      <c r="HR667" s="3"/>
      <c r="HS667" s="3"/>
      <c r="HT667" s="3"/>
      <c r="HU667" s="3"/>
      <c r="HV667" s="3"/>
      <c r="HW667" s="3"/>
      <c r="HX667" s="3"/>
      <c r="HY667" s="3"/>
      <c r="HZ667" s="3"/>
      <c r="IA667" s="3"/>
      <c r="IB667" s="3"/>
      <c r="IC667" s="3"/>
      <c r="ID667" s="3"/>
      <c r="IE667" s="3"/>
      <c r="IF667" s="3"/>
      <c r="IG667" s="3"/>
      <c r="IH667" s="3"/>
      <c r="II667" s="3"/>
      <c r="IJ667" s="3"/>
      <c r="IK667" s="3"/>
      <c r="IL667" s="3"/>
      <c r="IM667" s="3"/>
    </row>
    <row r="668" spans="1:11" ht="45" customHeight="1">
      <c r="A668" s="30">
        <v>105</v>
      </c>
      <c r="B668" s="45" t="s">
        <v>654</v>
      </c>
      <c r="C668" s="45" t="s">
        <v>38</v>
      </c>
      <c r="D668" s="46"/>
      <c r="E668" s="47">
        <v>66781</v>
      </c>
      <c r="F668" s="48">
        <v>4</v>
      </c>
      <c r="G668" s="45" t="s">
        <v>3486</v>
      </c>
      <c r="H668" s="30" t="s">
        <v>1763</v>
      </c>
      <c r="I668" s="45" t="s">
        <v>102</v>
      </c>
      <c r="J668" s="45" t="s">
        <v>1764</v>
      </c>
      <c r="K668" s="50" t="str">
        <f>"00031980"</f>
        <v>00031980</v>
      </c>
    </row>
    <row r="669" spans="1:11" ht="45" customHeight="1">
      <c r="A669" s="30">
        <v>105</v>
      </c>
      <c r="B669" s="49" t="s">
        <v>657</v>
      </c>
      <c r="C669" s="45" t="s">
        <v>38</v>
      </c>
      <c r="D669" s="46"/>
      <c r="E669" s="47">
        <v>47359</v>
      </c>
      <c r="F669" s="48">
        <v>4</v>
      </c>
      <c r="G669" s="51" t="s">
        <v>3487</v>
      </c>
      <c r="H669" s="30" t="s">
        <v>1757</v>
      </c>
      <c r="I669" s="45" t="s">
        <v>161</v>
      </c>
      <c r="J669" s="45" t="s">
        <v>162</v>
      </c>
      <c r="K669" s="50" t="str">
        <f>"00032554"</f>
        <v>00032554</v>
      </c>
    </row>
    <row r="670" spans="1:11" ht="45" customHeight="1">
      <c r="A670" s="30">
        <v>105</v>
      </c>
      <c r="B670" s="45" t="s">
        <v>654</v>
      </c>
      <c r="C670" s="45" t="s">
        <v>38</v>
      </c>
      <c r="D670" s="46"/>
      <c r="E670" s="47">
        <v>73002</v>
      </c>
      <c r="F670" s="48">
        <v>4</v>
      </c>
      <c r="G670" s="45" t="s">
        <v>3486</v>
      </c>
      <c r="H670" s="30" t="s">
        <v>1758</v>
      </c>
      <c r="I670" s="45" t="s">
        <v>102</v>
      </c>
      <c r="J670" s="45" t="s">
        <v>1759</v>
      </c>
      <c r="K670" s="50" t="str">
        <f>"00031978"</f>
        <v>00031978</v>
      </c>
    </row>
    <row r="671" spans="1:11" ht="45" customHeight="1">
      <c r="A671" s="30">
        <v>105</v>
      </c>
      <c r="B671" s="45" t="s">
        <v>1793</v>
      </c>
      <c r="C671" s="45" t="s">
        <v>38</v>
      </c>
      <c r="D671" s="46"/>
      <c r="E671" s="47">
        <v>69055</v>
      </c>
      <c r="F671" s="48">
        <v>4</v>
      </c>
      <c r="G671" s="45" t="s">
        <v>3488</v>
      </c>
      <c r="H671" s="30" t="s">
        <v>1794</v>
      </c>
      <c r="I671" s="45" t="s">
        <v>107</v>
      </c>
      <c r="J671" s="45" t="s">
        <v>184</v>
      </c>
      <c r="K671" s="50" t="str">
        <f>"00031313"</f>
        <v>00031313</v>
      </c>
    </row>
    <row r="672" spans="1:11" ht="45" customHeight="1">
      <c r="A672" s="30">
        <v>105</v>
      </c>
      <c r="B672" s="45" t="s">
        <v>1790</v>
      </c>
      <c r="C672" s="45" t="s">
        <v>38</v>
      </c>
      <c r="D672" s="46"/>
      <c r="E672" s="47">
        <v>60000</v>
      </c>
      <c r="F672" s="48">
        <v>4</v>
      </c>
      <c r="G672" s="45" t="s">
        <v>3489</v>
      </c>
      <c r="H672" s="30" t="s">
        <v>1791</v>
      </c>
      <c r="I672" s="45" t="s">
        <v>102</v>
      </c>
      <c r="J672" s="45" t="s">
        <v>1792</v>
      </c>
      <c r="K672" s="50" t="str">
        <f>"00029974"</f>
        <v>00029974</v>
      </c>
    </row>
    <row r="673" spans="1:11" ht="45" customHeight="1">
      <c r="A673" s="30">
        <v>105</v>
      </c>
      <c r="B673" s="45" t="s">
        <v>3490</v>
      </c>
      <c r="C673" s="45" t="s">
        <v>38</v>
      </c>
      <c r="D673" s="46"/>
      <c r="E673" s="47">
        <v>89686</v>
      </c>
      <c r="F673" s="48">
        <v>4</v>
      </c>
      <c r="G673" s="45" t="s">
        <v>3501</v>
      </c>
      <c r="H673" s="30" t="s">
        <v>3491</v>
      </c>
      <c r="I673" s="45" t="s">
        <v>107</v>
      </c>
      <c r="J673" s="45" t="s">
        <v>3492</v>
      </c>
      <c r="K673" s="50" t="str">
        <f>"00027538"</f>
        <v>00027538</v>
      </c>
    </row>
    <row r="674" spans="1:11" ht="45" customHeight="1">
      <c r="A674" s="30">
        <v>105</v>
      </c>
      <c r="B674" s="45" t="s">
        <v>3490</v>
      </c>
      <c r="C674" s="45" t="s">
        <v>38</v>
      </c>
      <c r="D674" s="46"/>
      <c r="E674" s="47">
        <v>89686</v>
      </c>
      <c r="F674" s="48">
        <v>4</v>
      </c>
      <c r="G674" s="45" t="s">
        <v>3501</v>
      </c>
      <c r="H674" s="30" t="s">
        <v>3491</v>
      </c>
      <c r="I674" s="45" t="s">
        <v>107</v>
      </c>
      <c r="J674" s="45" t="s">
        <v>3492</v>
      </c>
      <c r="K674" s="50" t="str">
        <f>"00027536"</f>
        <v>00027536</v>
      </c>
    </row>
    <row r="675" spans="1:11" ht="45" customHeight="1">
      <c r="A675" s="30">
        <v>105</v>
      </c>
      <c r="B675" s="45" t="s">
        <v>3490</v>
      </c>
      <c r="C675" s="45" t="s">
        <v>38</v>
      </c>
      <c r="D675" s="46"/>
      <c r="E675" s="47">
        <v>29686</v>
      </c>
      <c r="F675" s="48">
        <v>4</v>
      </c>
      <c r="G675" s="45" t="s">
        <v>3501</v>
      </c>
      <c r="H675" s="30" t="s">
        <v>3493</v>
      </c>
      <c r="I675" s="45" t="s">
        <v>107</v>
      </c>
      <c r="J675" s="45" t="s">
        <v>3492</v>
      </c>
      <c r="K675" s="50" t="str">
        <f>"00027532"</f>
        <v>00027532</v>
      </c>
    </row>
    <row r="676" spans="1:11" ht="45" customHeight="1">
      <c r="A676" s="30">
        <v>105</v>
      </c>
      <c r="B676" s="45" t="s">
        <v>3494</v>
      </c>
      <c r="C676" s="45" t="s">
        <v>38</v>
      </c>
      <c r="D676" s="46"/>
      <c r="E676" s="47">
        <v>46671</v>
      </c>
      <c r="F676" s="48">
        <v>4</v>
      </c>
      <c r="G676" s="45" t="s">
        <v>3502</v>
      </c>
      <c r="H676" s="30" t="s">
        <v>1302</v>
      </c>
      <c r="I676" s="45" t="s">
        <v>222</v>
      </c>
      <c r="J676" s="45" t="s">
        <v>1299</v>
      </c>
      <c r="K676" s="50" t="str">
        <f>"00028859"</f>
        <v>00028859</v>
      </c>
    </row>
    <row r="677" spans="1:11" ht="45" customHeight="1">
      <c r="A677" s="30">
        <v>105</v>
      </c>
      <c r="B677" s="45" t="s">
        <v>3490</v>
      </c>
      <c r="C677" s="45" t="s">
        <v>38</v>
      </c>
      <c r="D677" s="46"/>
      <c r="E677" s="47">
        <v>89686</v>
      </c>
      <c r="F677" s="48">
        <v>4</v>
      </c>
      <c r="G677" s="45" t="s">
        <v>3501</v>
      </c>
      <c r="H677" s="30" t="s">
        <v>2123</v>
      </c>
      <c r="I677" s="45" t="s">
        <v>107</v>
      </c>
      <c r="J677" s="45" t="s">
        <v>3492</v>
      </c>
      <c r="K677" s="50" t="str">
        <f>"00027534"</f>
        <v>00027534</v>
      </c>
    </row>
    <row r="678" spans="1:11" ht="45" customHeight="1">
      <c r="A678" s="30">
        <v>105</v>
      </c>
      <c r="B678" s="45" t="s">
        <v>3490</v>
      </c>
      <c r="C678" s="45" t="s">
        <v>38</v>
      </c>
      <c r="D678" s="46"/>
      <c r="E678" s="47">
        <v>51888</v>
      </c>
      <c r="F678" s="48">
        <v>4</v>
      </c>
      <c r="G678" s="45" t="s">
        <v>3503</v>
      </c>
      <c r="H678" s="30" t="s">
        <v>3495</v>
      </c>
      <c r="I678" s="45" t="s">
        <v>100</v>
      </c>
      <c r="J678" s="45" t="s">
        <v>1301</v>
      </c>
      <c r="K678" s="50" t="str">
        <f>"00028911"</f>
        <v>00028911</v>
      </c>
    </row>
    <row r="679" spans="1:11" ht="45" customHeight="1">
      <c r="A679" s="30">
        <v>105</v>
      </c>
      <c r="B679" s="45" t="s">
        <v>3496</v>
      </c>
      <c r="C679" s="45" t="s">
        <v>38</v>
      </c>
      <c r="D679" s="46"/>
      <c r="E679" s="47">
        <v>60285</v>
      </c>
      <c r="F679" s="48">
        <v>4</v>
      </c>
      <c r="G679" s="51" t="s">
        <v>3504</v>
      </c>
      <c r="H679" s="30" t="s">
        <v>3497</v>
      </c>
      <c r="I679" s="45" t="s">
        <v>107</v>
      </c>
      <c r="J679" s="51" t="s">
        <v>3498</v>
      </c>
      <c r="K679" s="50" t="str">
        <f>"00031819"</f>
        <v>00031819</v>
      </c>
    </row>
    <row r="680" spans="1:11" ht="45" customHeight="1">
      <c r="A680" s="30">
        <v>105</v>
      </c>
      <c r="B680" s="45" t="s">
        <v>3494</v>
      </c>
      <c r="C680" s="45" t="s">
        <v>38</v>
      </c>
      <c r="D680" s="46"/>
      <c r="E680" s="47">
        <v>101667</v>
      </c>
      <c r="F680" s="48">
        <v>4</v>
      </c>
      <c r="G680" s="45" t="s">
        <v>3464</v>
      </c>
      <c r="H680" s="30" t="s">
        <v>1779</v>
      </c>
      <c r="I680" s="45" t="s">
        <v>107</v>
      </c>
      <c r="J680" s="45" t="s">
        <v>1220</v>
      </c>
      <c r="K680" s="50" t="str">
        <f>"00029787"</f>
        <v>00029787</v>
      </c>
    </row>
    <row r="681" spans="1:11" ht="45" customHeight="1">
      <c r="A681" s="30">
        <v>105</v>
      </c>
      <c r="B681" s="45" t="s">
        <v>3499</v>
      </c>
      <c r="C681" s="45" t="s">
        <v>38</v>
      </c>
      <c r="D681" s="46"/>
      <c r="E681" s="47">
        <v>91182</v>
      </c>
      <c r="F681" s="48">
        <v>4</v>
      </c>
      <c r="G681" s="45" t="s">
        <v>3505</v>
      </c>
      <c r="H681" s="30" t="s">
        <v>1767</v>
      </c>
      <c r="I681" s="45" t="s">
        <v>107</v>
      </c>
      <c r="J681" s="45" t="s">
        <v>1629</v>
      </c>
      <c r="K681" s="50" t="str">
        <f>"00031314"</f>
        <v>00031314</v>
      </c>
    </row>
    <row r="682" spans="1:11" ht="45" customHeight="1">
      <c r="A682" s="30">
        <v>105</v>
      </c>
      <c r="B682" s="45" t="s">
        <v>3499</v>
      </c>
      <c r="C682" s="45" t="s">
        <v>38</v>
      </c>
      <c r="D682" s="46"/>
      <c r="E682" s="47">
        <v>91212</v>
      </c>
      <c r="F682" s="48">
        <v>4</v>
      </c>
      <c r="G682" s="45" t="s">
        <v>3505</v>
      </c>
      <c r="H682" s="30" t="s">
        <v>1767</v>
      </c>
      <c r="I682" s="45" t="s">
        <v>107</v>
      </c>
      <c r="J682" s="45" t="s">
        <v>1629</v>
      </c>
      <c r="K682" s="50" t="str">
        <f>"00031316"</f>
        <v>00031316</v>
      </c>
    </row>
    <row r="683" spans="1:11" ht="45" customHeight="1">
      <c r="A683" s="30">
        <v>105</v>
      </c>
      <c r="B683" s="45" t="s">
        <v>3500</v>
      </c>
      <c r="C683" s="45" t="s">
        <v>38</v>
      </c>
      <c r="D683" s="46"/>
      <c r="E683" s="47">
        <v>17054</v>
      </c>
      <c r="F683" s="48">
        <v>4</v>
      </c>
      <c r="G683" s="45" t="s">
        <v>3480</v>
      </c>
      <c r="H683" s="30" t="s">
        <v>1767</v>
      </c>
      <c r="I683" s="45" t="s">
        <v>107</v>
      </c>
      <c r="J683" s="45" t="s">
        <v>315</v>
      </c>
      <c r="K683" s="50" t="str">
        <f>"00031355"</f>
        <v>00031355</v>
      </c>
    </row>
    <row r="684" spans="1:11" ht="45" customHeight="1">
      <c r="A684" s="30">
        <v>104</v>
      </c>
      <c r="B684" s="45" t="s">
        <v>3871</v>
      </c>
      <c r="C684" s="45" t="s">
        <v>3872</v>
      </c>
      <c r="D684" s="46"/>
      <c r="E684" s="47">
        <v>-74</v>
      </c>
      <c r="F684" s="48">
        <v>4</v>
      </c>
      <c r="G684" s="45" t="s">
        <v>3877</v>
      </c>
      <c r="H684" s="30" t="s">
        <v>3873</v>
      </c>
      <c r="I684" s="45" t="s">
        <v>3874</v>
      </c>
      <c r="J684" s="45" t="s">
        <v>3875</v>
      </c>
      <c r="K684" s="50" t="s">
        <v>3876</v>
      </c>
    </row>
    <row r="685" spans="1:11" ht="45" customHeight="1">
      <c r="A685" s="33"/>
      <c r="B685" s="58" t="s">
        <v>661</v>
      </c>
      <c r="C685" s="33"/>
      <c r="D685" s="33"/>
      <c r="E685" s="59">
        <f>SUM(E622:E684)</f>
        <v>4427177</v>
      </c>
      <c r="F685" s="33"/>
      <c r="G685" s="33"/>
      <c r="H685" s="33"/>
      <c r="I685" s="33"/>
      <c r="J685" s="33"/>
      <c r="K685" s="87"/>
    </row>
    <row r="686" spans="1:11" ht="45" customHeight="1">
      <c r="A686" s="30"/>
      <c r="B686" s="56" t="s">
        <v>356</v>
      </c>
      <c r="C686" s="45"/>
      <c r="D686" s="46"/>
      <c r="E686" s="47"/>
      <c r="F686" s="48"/>
      <c r="G686" s="53"/>
      <c r="H686" s="30"/>
      <c r="I686" s="45"/>
      <c r="J686" s="45"/>
      <c r="K686" s="50"/>
    </row>
    <row r="687" spans="1:11" ht="45" customHeight="1">
      <c r="A687" s="30">
        <v>105</v>
      </c>
      <c r="B687" s="45" t="s">
        <v>1835</v>
      </c>
      <c r="C687" s="45" t="s">
        <v>38</v>
      </c>
      <c r="D687" s="46"/>
      <c r="E687" s="47">
        <v>90738</v>
      </c>
      <c r="F687" s="48">
        <v>4</v>
      </c>
      <c r="G687" s="45" t="s">
        <v>4080</v>
      </c>
      <c r="H687" s="30" t="s">
        <v>1861</v>
      </c>
      <c r="I687" s="45" t="s">
        <v>387</v>
      </c>
      <c r="J687" s="45" t="s">
        <v>690</v>
      </c>
      <c r="K687" s="50" t="str">
        <f>"00029022"</f>
        <v>00029022</v>
      </c>
    </row>
    <row r="688" spans="1:11" ht="45" customHeight="1">
      <c r="A688" s="30">
        <v>105</v>
      </c>
      <c r="B688" s="45" t="s">
        <v>365</v>
      </c>
      <c r="C688" s="45" t="s">
        <v>38</v>
      </c>
      <c r="D688" s="46"/>
      <c r="E688" s="47">
        <v>26263</v>
      </c>
      <c r="F688" s="48">
        <v>4</v>
      </c>
      <c r="G688" s="49" t="s">
        <v>4081</v>
      </c>
      <c r="H688" s="30" t="s">
        <v>1860</v>
      </c>
      <c r="I688" s="45" t="s">
        <v>92</v>
      </c>
      <c r="J688" s="45" t="s">
        <v>110</v>
      </c>
      <c r="K688" s="50" t="str">
        <f>"00027584"</f>
        <v>00027584</v>
      </c>
    </row>
    <row r="689" spans="1:11" ht="45" customHeight="1">
      <c r="A689" s="30">
        <v>105</v>
      </c>
      <c r="B689" s="45" t="s">
        <v>1856</v>
      </c>
      <c r="C689" s="45" t="s">
        <v>38</v>
      </c>
      <c r="D689" s="46"/>
      <c r="E689" s="47">
        <v>24258</v>
      </c>
      <c r="F689" s="48">
        <v>4</v>
      </c>
      <c r="G689" s="45" t="s">
        <v>4082</v>
      </c>
      <c r="H689" s="30" t="s">
        <v>1857</v>
      </c>
      <c r="I689" s="45" t="s">
        <v>92</v>
      </c>
      <c r="J689" s="45" t="s">
        <v>110</v>
      </c>
      <c r="K689" s="50" t="str">
        <f>"00027309"</f>
        <v>00027309</v>
      </c>
    </row>
    <row r="690" spans="1:11" ht="45" customHeight="1">
      <c r="A690" s="30">
        <v>105</v>
      </c>
      <c r="B690" s="45" t="s">
        <v>365</v>
      </c>
      <c r="C690" s="45" t="s">
        <v>38</v>
      </c>
      <c r="D690" s="46"/>
      <c r="E690" s="47">
        <v>72540</v>
      </c>
      <c r="F690" s="48">
        <v>4</v>
      </c>
      <c r="G690" s="76" t="s">
        <v>4083</v>
      </c>
      <c r="H690" s="30" t="s">
        <v>1858</v>
      </c>
      <c r="I690" s="45" t="s">
        <v>107</v>
      </c>
      <c r="J690" s="45" t="s">
        <v>1859</v>
      </c>
      <c r="K690" s="50" t="str">
        <f>"00027777"</f>
        <v>00027777</v>
      </c>
    </row>
    <row r="691" spans="1:11" ht="45" customHeight="1">
      <c r="A691" s="30">
        <v>105</v>
      </c>
      <c r="B691" s="45" t="s">
        <v>343</v>
      </c>
      <c r="C691" s="45" t="s">
        <v>38</v>
      </c>
      <c r="D691" s="46"/>
      <c r="E691" s="47">
        <v>98518</v>
      </c>
      <c r="F691" s="48">
        <v>4</v>
      </c>
      <c r="G691" s="76" t="s">
        <v>4084</v>
      </c>
      <c r="H691" s="30" t="s">
        <v>1883</v>
      </c>
      <c r="I691" s="45" t="s">
        <v>107</v>
      </c>
      <c r="J691" s="45" t="s">
        <v>1859</v>
      </c>
      <c r="K691" s="50" t="str">
        <f>"00027832"</f>
        <v>00027832</v>
      </c>
    </row>
    <row r="692" spans="1:11" ht="45" customHeight="1">
      <c r="A692" s="30">
        <v>105</v>
      </c>
      <c r="B692" s="45" t="s">
        <v>342</v>
      </c>
      <c r="C692" s="45" t="s">
        <v>38</v>
      </c>
      <c r="D692" s="46"/>
      <c r="E692" s="47">
        <v>48630</v>
      </c>
      <c r="F692" s="48">
        <v>4</v>
      </c>
      <c r="G692" s="45" t="s">
        <v>4085</v>
      </c>
      <c r="H692" s="30" t="s">
        <v>1881</v>
      </c>
      <c r="I692" s="45" t="s">
        <v>165</v>
      </c>
      <c r="J692" s="45" t="s">
        <v>1882</v>
      </c>
      <c r="K692" s="50" t="str">
        <f>"00028671"</f>
        <v>00028671</v>
      </c>
    </row>
    <row r="693" spans="1:11" ht="45" customHeight="1">
      <c r="A693" s="30">
        <v>105</v>
      </c>
      <c r="B693" s="45" t="s">
        <v>1835</v>
      </c>
      <c r="C693" s="45" t="s">
        <v>38</v>
      </c>
      <c r="D693" s="46"/>
      <c r="E693" s="47">
        <v>170639</v>
      </c>
      <c r="F693" s="48">
        <v>4</v>
      </c>
      <c r="G693" s="45" t="s">
        <v>4086</v>
      </c>
      <c r="H693" s="30" t="s">
        <v>1861</v>
      </c>
      <c r="I693" s="45" t="s">
        <v>387</v>
      </c>
      <c r="J693" s="45" t="s">
        <v>690</v>
      </c>
      <c r="K693" s="50" t="str">
        <f>"00029132"</f>
        <v>00029132</v>
      </c>
    </row>
    <row r="694" spans="1:11" ht="45" customHeight="1">
      <c r="A694" s="30">
        <v>105</v>
      </c>
      <c r="B694" s="45" t="s">
        <v>1862</v>
      </c>
      <c r="C694" s="45" t="s">
        <v>38</v>
      </c>
      <c r="D694" s="46"/>
      <c r="E694" s="47">
        <v>93913</v>
      </c>
      <c r="F694" s="48">
        <v>4</v>
      </c>
      <c r="G694" s="49" t="s">
        <v>4087</v>
      </c>
      <c r="H694" s="30" t="s">
        <v>1863</v>
      </c>
      <c r="I694" s="45" t="s">
        <v>116</v>
      </c>
      <c r="J694" s="45" t="s">
        <v>268</v>
      </c>
      <c r="K694" s="50" t="str">
        <f>"00028036"</f>
        <v>00028036</v>
      </c>
    </row>
    <row r="695" spans="1:11" ht="45" customHeight="1">
      <c r="A695" s="30">
        <v>105</v>
      </c>
      <c r="B695" s="45" t="s">
        <v>342</v>
      </c>
      <c r="C695" s="45" t="s">
        <v>38</v>
      </c>
      <c r="D695" s="46"/>
      <c r="E695" s="47">
        <v>117910</v>
      </c>
      <c r="F695" s="48">
        <v>4</v>
      </c>
      <c r="G695" s="45" t="s">
        <v>4088</v>
      </c>
      <c r="H695" s="30" t="s">
        <v>1297</v>
      </c>
      <c r="I695" s="45" t="s">
        <v>104</v>
      </c>
      <c r="J695" s="45" t="s">
        <v>377</v>
      </c>
      <c r="K695" s="50" t="str">
        <f>"00029375"</f>
        <v>00029375</v>
      </c>
    </row>
    <row r="696" spans="1:11" ht="45" customHeight="1">
      <c r="A696" s="30">
        <v>105</v>
      </c>
      <c r="B696" s="51" t="s">
        <v>347</v>
      </c>
      <c r="C696" s="45" t="s">
        <v>38</v>
      </c>
      <c r="D696" s="46"/>
      <c r="E696" s="47">
        <v>74779</v>
      </c>
      <c r="F696" s="48">
        <v>4</v>
      </c>
      <c r="G696" s="45" t="s">
        <v>4089</v>
      </c>
      <c r="H696" s="30" t="s">
        <v>1864</v>
      </c>
      <c r="I696" s="45" t="s">
        <v>177</v>
      </c>
      <c r="J696" s="45" t="s">
        <v>1865</v>
      </c>
      <c r="K696" s="50" t="str">
        <f>"00028921"</f>
        <v>00028921</v>
      </c>
    </row>
    <row r="697" spans="1:11" ht="45" customHeight="1">
      <c r="A697" s="30">
        <v>105</v>
      </c>
      <c r="B697" s="45" t="s">
        <v>343</v>
      </c>
      <c r="C697" s="45" t="s">
        <v>38</v>
      </c>
      <c r="D697" s="46"/>
      <c r="E697" s="47">
        <v>100869</v>
      </c>
      <c r="F697" s="48">
        <v>4</v>
      </c>
      <c r="G697" s="45" t="s">
        <v>4088</v>
      </c>
      <c r="H697" s="30" t="s">
        <v>1868</v>
      </c>
      <c r="I697" s="45" t="s">
        <v>104</v>
      </c>
      <c r="J697" s="45" t="s">
        <v>377</v>
      </c>
      <c r="K697" s="50" t="str">
        <f>"00029188"</f>
        <v>00029188</v>
      </c>
    </row>
    <row r="698" spans="1:11" ht="45" customHeight="1">
      <c r="A698" s="30">
        <v>105</v>
      </c>
      <c r="B698" s="45" t="s">
        <v>1866</v>
      </c>
      <c r="C698" s="45" t="s">
        <v>38</v>
      </c>
      <c r="D698" s="46"/>
      <c r="E698" s="47">
        <v>148959</v>
      </c>
      <c r="F698" s="48">
        <v>4</v>
      </c>
      <c r="G698" s="45" t="s">
        <v>4088</v>
      </c>
      <c r="H698" s="30" t="s">
        <v>1867</v>
      </c>
      <c r="I698" s="45" t="s">
        <v>104</v>
      </c>
      <c r="J698" s="45" t="s">
        <v>377</v>
      </c>
      <c r="K698" s="50" t="str">
        <f>"00029407"</f>
        <v>00029407</v>
      </c>
    </row>
    <row r="699" spans="1:11" ht="45" customHeight="1">
      <c r="A699" s="30">
        <v>105</v>
      </c>
      <c r="B699" s="45" t="s">
        <v>1866</v>
      </c>
      <c r="C699" s="45" t="s">
        <v>38</v>
      </c>
      <c r="D699" s="46"/>
      <c r="E699" s="47">
        <v>125295</v>
      </c>
      <c r="F699" s="48">
        <v>4</v>
      </c>
      <c r="G699" s="45" t="s">
        <v>4088</v>
      </c>
      <c r="H699" s="30" t="s">
        <v>1870</v>
      </c>
      <c r="I699" s="45" t="s">
        <v>104</v>
      </c>
      <c r="J699" s="45" t="s">
        <v>377</v>
      </c>
      <c r="K699" s="50" t="str">
        <f>"00029403"</f>
        <v>00029403</v>
      </c>
    </row>
    <row r="700" spans="1:11" ht="45" customHeight="1">
      <c r="A700" s="30">
        <v>105</v>
      </c>
      <c r="B700" s="45" t="s">
        <v>362</v>
      </c>
      <c r="C700" s="45" t="s">
        <v>38</v>
      </c>
      <c r="D700" s="46"/>
      <c r="E700" s="47">
        <v>99438</v>
      </c>
      <c r="F700" s="48">
        <v>4</v>
      </c>
      <c r="G700" s="45" t="s">
        <v>4090</v>
      </c>
      <c r="H700" s="30" t="s">
        <v>1869</v>
      </c>
      <c r="I700" s="45" t="s">
        <v>387</v>
      </c>
      <c r="J700" s="45" t="s">
        <v>848</v>
      </c>
      <c r="K700" s="50" t="str">
        <f>"00029647"</f>
        <v>00029647</v>
      </c>
    </row>
    <row r="701" spans="1:11" ht="45" customHeight="1">
      <c r="A701" s="30">
        <v>105</v>
      </c>
      <c r="B701" s="45" t="s">
        <v>343</v>
      </c>
      <c r="C701" s="45" t="s">
        <v>38</v>
      </c>
      <c r="D701" s="46"/>
      <c r="E701" s="47">
        <v>121688</v>
      </c>
      <c r="F701" s="48">
        <v>4</v>
      </c>
      <c r="G701" s="45" t="s">
        <v>4088</v>
      </c>
      <c r="H701" s="30" t="s">
        <v>1867</v>
      </c>
      <c r="I701" s="45" t="s">
        <v>104</v>
      </c>
      <c r="J701" s="45" t="s">
        <v>377</v>
      </c>
      <c r="K701" s="50" t="str">
        <f>"00029263"</f>
        <v>00029263</v>
      </c>
    </row>
    <row r="702" spans="1:11" ht="45" customHeight="1">
      <c r="A702" s="30">
        <v>105</v>
      </c>
      <c r="B702" s="51" t="s">
        <v>346</v>
      </c>
      <c r="C702" s="45" t="s">
        <v>38</v>
      </c>
      <c r="D702" s="46"/>
      <c r="E702" s="47">
        <v>56946</v>
      </c>
      <c r="F702" s="48">
        <v>4</v>
      </c>
      <c r="G702" s="45" t="s">
        <v>4091</v>
      </c>
      <c r="H702" s="30" t="s">
        <v>1809</v>
      </c>
      <c r="I702" s="45" t="s">
        <v>152</v>
      </c>
      <c r="J702" s="45" t="s">
        <v>352</v>
      </c>
      <c r="K702" s="50" t="str">
        <f>"00029786"</f>
        <v>00029786</v>
      </c>
    </row>
    <row r="703" spans="1:11" ht="45" customHeight="1">
      <c r="A703" s="30">
        <v>105</v>
      </c>
      <c r="B703" s="45" t="s">
        <v>338</v>
      </c>
      <c r="C703" s="45" t="s">
        <v>38</v>
      </c>
      <c r="D703" s="46"/>
      <c r="E703" s="47">
        <v>110056</v>
      </c>
      <c r="F703" s="48">
        <v>4</v>
      </c>
      <c r="G703" s="52" t="s">
        <v>4092</v>
      </c>
      <c r="H703" s="30" t="s">
        <v>1879</v>
      </c>
      <c r="I703" s="45" t="s">
        <v>107</v>
      </c>
      <c r="J703" s="51" t="s">
        <v>1880</v>
      </c>
      <c r="K703" s="50" t="str">
        <f>"00028956"</f>
        <v>00028956</v>
      </c>
    </row>
    <row r="704" spans="1:11" ht="45" customHeight="1">
      <c r="A704" s="30">
        <v>105</v>
      </c>
      <c r="B704" s="45" t="s">
        <v>1877</v>
      </c>
      <c r="C704" s="45" t="s">
        <v>38</v>
      </c>
      <c r="D704" s="46"/>
      <c r="E704" s="47">
        <v>92009</v>
      </c>
      <c r="F704" s="48">
        <v>4</v>
      </c>
      <c r="G704" s="49" t="s">
        <v>4093</v>
      </c>
      <c r="H704" s="30" t="s">
        <v>1642</v>
      </c>
      <c r="I704" s="76" t="s">
        <v>260</v>
      </c>
      <c r="J704" s="53" t="s">
        <v>1878</v>
      </c>
      <c r="K704" s="50" t="str">
        <f>"00029297"</f>
        <v>00029297</v>
      </c>
    </row>
    <row r="705" spans="1:11" ht="45" customHeight="1">
      <c r="A705" s="30">
        <v>105</v>
      </c>
      <c r="B705" s="45" t="s">
        <v>1850</v>
      </c>
      <c r="C705" s="45" t="s">
        <v>38</v>
      </c>
      <c r="D705" s="46"/>
      <c r="E705" s="47">
        <v>48519</v>
      </c>
      <c r="F705" s="48">
        <v>4</v>
      </c>
      <c r="G705" s="45" t="s">
        <v>4094</v>
      </c>
      <c r="H705" s="30" t="s">
        <v>1873</v>
      </c>
      <c r="I705" s="45" t="s">
        <v>152</v>
      </c>
      <c r="J705" s="45" t="s">
        <v>352</v>
      </c>
      <c r="K705" s="50" t="str">
        <f>"00029898"</f>
        <v>00029898</v>
      </c>
    </row>
    <row r="706" spans="1:11" ht="45" customHeight="1">
      <c r="A706" s="30">
        <v>105</v>
      </c>
      <c r="B706" s="45" t="s">
        <v>1874</v>
      </c>
      <c r="C706" s="45" t="s">
        <v>38</v>
      </c>
      <c r="D706" s="46"/>
      <c r="E706" s="47">
        <v>78626</v>
      </c>
      <c r="F706" s="48">
        <v>4</v>
      </c>
      <c r="G706" s="45" t="s">
        <v>4095</v>
      </c>
      <c r="H706" s="30" t="s">
        <v>1875</v>
      </c>
      <c r="I706" s="45" t="s">
        <v>96</v>
      </c>
      <c r="J706" s="45" t="s">
        <v>1876</v>
      </c>
      <c r="K706" s="50" t="str">
        <f>"00029645"</f>
        <v>00029645</v>
      </c>
    </row>
    <row r="707" spans="1:11" ht="45" customHeight="1">
      <c r="A707" s="30">
        <v>105</v>
      </c>
      <c r="B707" s="45" t="s">
        <v>368</v>
      </c>
      <c r="C707" s="45" t="s">
        <v>38</v>
      </c>
      <c r="D707" s="46"/>
      <c r="E707" s="47">
        <v>95211</v>
      </c>
      <c r="F707" s="48">
        <v>4</v>
      </c>
      <c r="G707" s="45" t="s">
        <v>4096</v>
      </c>
      <c r="H707" s="30" t="s">
        <v>1871</v>
      </c>
      <c r="I707" s="45" t="s">
        <v>98</v>
      </c>
      <c r="J707" s="45" t="s">
        <v>1872</v>
      </c>
      <c r="K707" s="50" t="str">
        <f>"00028901"</f>
        <v>00028901</v>
      </c>
    </row>
    <row r="708" spans="1:11" ht="45" customHeight="1">
      <c r="A708" s="30">
        <v>105</v>
      </c>
      <c r="B708" s="45" t="s">
        <v>370</v>
      </c>
      <c r="C708" s="45" t="s">
        <v>38</v>
      </c>
      <c r="D708" s="46"/>
      <c r="E708" s="47">
        <v>36223</v>
      </c>
      <c r="F708" s="48">
        <v>4</v>
      </c>
      <c r="G708" s="45" t="s">
        <v>4094</v>
      </c>
      <c r="H708" s="30" t="s">
        <v>1873</v>
      </c>
      <c r="I708" s="45" t="s">
        <v>152</v>
      </c>
      <c r="J708" s="45" t="s">
        <v>352</v>
      </c>
      <c r="K708" s="50" t="str">
        <f>"00029924"</f>
        <v>00029924</v>
      </c>
    </row>
    <row r="709" spans="1:11" ht="45" customHeight="1">
      <c r="A709" s="30">
        <v>105</v>
      </c>
      <c r="B709" s="45" t="s">
        <v>339</v>
      </c>
      <c r="C709" s="45" t="s">
        <v>38</v>
      </c>
      <c r="D709" s="46"/>
      <c r="E709" s="47">
        <v>85024</v>
      </c>
      <c r="F709" s="48">
        <v>4</v>
      </c>
      <c r="G709" s="45" t="s">
        <v>4097</v>
      </c>
      <c r="H709" s="30" t="s">
        <v>1851</v>
      </c>
      <c r="I709" s="45" t="s">
        <v>107</v>
      </c>
      <c r="J709" s="45" t="s">
        <v>1852</v>
      </c>
      <c r="K709" s="50" t="str">
        <f>"00029865"</f>
        <v>00029865</v>
      </c>
    </row>
    <row r="710" spans="1:11" ht="45" customHeight="1">
      <c r="A710" s="30">
        <v>105</v>
      </c>
      <c r="B710" s="45" t="s">
        <v>1832</v>
      </c>
      <c r="C710" s="45" t="s">
        <v>38</v>
      </c>
      <c r="D710" s="46"/>
      <c r="E710" s="47">
        <v>39761</v>
      </c>
      <c r="F710" s="48">
        <v>4</v>
      </c>
      <c r="G710" s="45" t="s">
        <v>4098</v>
      </c>
      <c r="H710" s="30" t="s">
        <v>1833</v>
      </c>
      <c r="I710" s="45" t="s">
        <v>100</v>
      </c>
      <c r="J710" s="45" t="s">
        <v>101</v>
      </c>
      <c r="K710" s="50" t="str">
        <f>"00031065"</f>
        <v>00031065</v>
      </c>
    </row>
    <row r="711" spans="1:11" ht="45" customHeight="1">
      <c r="A711" s="30">
        <v>105</v>
      </c>
      <c r="B711" s="45" t="s">
        <v>1853</v>
      </c>
      <c r="C711" s="45" t="s">
        <v>38</v>
      </c>
      <c r="D711" s="46"/>
      <c r="E711" s="47">
        <v>64254</v>
      </c>
      <c r="F711" s="48">
        <v>4</v>
      </c>
      <c r="G711" s="45" t="s">
        <v>4099</v>
      </c>
      <c r="H711" s="30" t="s">
        <v>1854</v>
      </c>
      <c r="I711" s="45" t="s">
        <v>100</v>
      </c>
      <c r="J711" s="45" t="s">
        <v>101</v>
      </c>
      <c r="K711" s="50" t="str">
        <f>"00030223"</f>
        <v>00030223</v>
      </c>
    </row>
    <row r="712" spans="1:11" ht="45" customHeight="1">
      <c r="A712" s="30">
        <v>105</v>
      </c>
      <c r="B712" s="45" t="s">
        <v>368</v>
      </c>
      <c r="C712" s="45" t="s">
        <v>38</v>
      </c>
      <c r="D712" s="46"/>
      <c r="E712" s="47">
        <v>51469</v>
      </c>
      <c r="F712" s="48">
        <v>4</v>
      </c>
      <c r="G712" s="45" t="s">
        <v>4100</v>
      </c>
      <c r="H712" s="30" t="s">
        <v>1855</v>
      </c>
      <c r="I712" s="45" t="s">
        <v>92</v>
      </c>
      <c r="J712" s="45" t="s">
        <v>1846</v>
      </c>
      <c r="K712" s="50" t="str">
        <f>"00030239"</f>
        <v>00030239</v>
      </c>
    </row>
    <row r="713" spans="1:11" ht="45" customHeight="1">
      <c r="A713" s="30">
        <v>105</v>
      </c>
      <c r="B713" s="51" t="s">
        <v>1847</v>
      </c>
      <c r="C713" s="45" t="s">
        <v>38</v>
      </c>
      <c r="D713" s="46"/>
      <c r="E713" s="47">
        <v>111858</v>
      </c>
      <c r="F713" s="48">
        <v>4</v>
      </c>
      <c r="G713" s="45" t="s">
        <v>4101</v>
      </c>
      <c r="H713" s="30" t="s">
        <v>1848</v>
      </c>
      <c r="I713" s="45" t="s">
        <v>607</v>
      </c>
      <c r="J713" s="45" t="s">
        <v>1849</v>
      </c>
      <c r="K713" s="50" t="str">
        <f>"00030180"</f>
        <v>00030180</v>
      </c>
    </row>
    <row r="714" spans="1:11" ht="45" customHeight="1">
      <c r="A714" s="30">
        <v>105</v>
      </c>
      <c r="B714" s="45" t="s">
        <v>1844</v>
      </c>
      <c r="C714" s="45" t="s">
        <v>38</v>
      </c>
      <c r="D714" s="46"/>
      <c r="E714" s="47">
        <v>34122</v>
      </c>
      <c r="F714" s="48">
        <v>4</v>
      </c>
      <c r="G714" s="45" t="s">
        <v>4100</v>
      </c>
      <c r="H714" s="30" t="s">
        <v>1845</v>
      </c>
      <c r="I714" s="45" t="s">
        <v>92</v>
      </c>
      <c r="J714" s="45" t="s">
        <v>1846</v>
      </c>
      <c r="K714" s="50" t="str">
        <f>"00030236"</f>
        <v>00030236</v>
      </c>
    </row>
    <row r="715" spans="1:11" ht="45" customHeight="1">
      <c r="A715" s="30">
        <v>105</v>
      </c>
      <c r="B715" s="45" t="s">
        <v>1850</v>
      </c>
      <c r="C715" s="45" t="s">
        <v>38</v>
      </c>
      <c r="D715" s="46"/>
      <c r="E715" s="47">
        <v>38667</v>
      </c>
      <c r="F715" s="48">
        <v>4</v>
      </c>
      <c r="G715" s="45" t="s">
        <v>4094</v>
      </c>
      <c r="H715" s="30" t="s">
        <v>1640</v>
      </c>
      <c r="I715" s="45" t="s">
        <v>152</v>
      </c>
      <c r="J715" s="45" t="s">
        <v>352</v>
      </c>
      <c r="K715" s="50" t="str">
        <f>"00030096"</f>
        <v>00030096</v>
      </c>
    </row>
    <row r="716" spans="1:11" ht="45" customHeight="1">
      <c r="A716" s="30">
        <v>105</v>
      </c>
      <c r="B716" s="45" t="s">
        <v>342</v>
      </c>
      <c r="C716" s="45" t="s">
        <v>38</v>
      </c>
      <c r="D716" s="46"/>
      <c r="E716" s="47">
        <v>38754</v>
      </c>
      <c r="F716" s="48">
        <v>4</v>
      </c>
      <c r="G716" s="45" t="s">
        <v>4102</v>
      </c>
      <c r="H716" s="30" t="s">
        <v>1339</v>
      </c>
      <c r="I716" s="45" t="s">
        <v>100</v>
      </c>
      <c r="J716" s="45" t="s">
        <v>101</v>
      </c>
      <c r="K716" s="50" t="str">
        <f>"00031511"</f>
        <v>00031511</v>
      </c>
    </row>
    <row r="717" spans="1:11" ht="45" customHeight="1">
      <c r="A717" s="30">
        <v>105</v>
      </c>
      <c r="B717" s="45" t="s">
        <v>1835</v>
      </c>
      <c r="C717" s="45" t="s">
        <v>38</v>
      </c>
      <c r="D717" s="46"/>
      <c r="E717" s="47">
        <v>34342</v>
      </c>
      <c r="F717" s="48">
        <v>4</v>
      </c>
      <c r="G717" s="45" t="s">
        <v>4103</v>
      </c>
      <c r="H717" s="30" t="s">
        <v>1633</v>
      </c>
      <c r="I717" s="45" t="s">
        <v>100</v>
      </c>
      <c r="J717" s="45" t="s">
        <v>101</v>
      </c>
      <c r="K717" s="50" t="str">
        <f>"00031062"</f>
        <v>00031062</v>
      </c>
    </row>
    <row r="718" spans="1:11" ht="45" customHeight="1">
      <c r="A718" s="30">
        <v>105</v>
      </c>
      <c r="B718" s="45" t="s">
        <v>358</v>
      </c>
      <c r="C718" s="45" t="s">
        <v>38</v>
      </c>
      <c r="D718" s="46"/>
      <c r="E718" s="47">
        <v>31684</v>
      </c>
      <c r="F718" s="48">
        <v>4</v>
      </c>
      <c r="G718" s="45" t="s">
        <v>4102</v>
      </c>
      <c r="H718" s="30" t="s">
        <v>1633</v>
      </c>
      <c r="I718" s="45" t="s">
        <v>100</v>
      </c>
      <c r="J718" s="45" t="s">
        <v>101</v>
      </c>
      <c r="K718" s="50" t="str">
        <f>"00031230"</f>
        <v>00031230</v>
      </c>
    </row>
    <row r="719" spans="1:11" ht="45" customHeight="1">
      <c r="A719" s="30">
        <v>105</v>
      </c>
      <c r="B719" s="45" t="s">
        <v>343</v>
      </c>
      <c r="C719" s="45" t="s">
        <v>38</v>
      </c>
      <c r="D719" s="46"/>
      <c r="E719" s="47">
        <v>41758</v>
      </c>
      <c r="F719" s="48">
        <v>4</v>
      </c>
      <c r="G719" s="45" t="s">
        <v>4098</v>
      </c>
      <c r="H719" s="30" t="s">
        <v>1836</v>
      </c>
      <c r="I719" s="45" t="s">
        <v>100</v>
      </c>
      <c r="J719" s="45" t="s">
        <v>101</v>
      </c>
      <c r="K719" s="50" t="str">
        <f>"00031067"</f>
        <v>00031067</v>
      </c>
    </row>
    <row r="720" spans="1:11" ht="45" customHeight="1">
      <c r="A720" s="30">
        <v>105</v>
      </c>
      <c r="B720" s="45" t="s">
        <v>365</v>
      </c>
      <c r="C720" s="45" t="s">
        <v>38</v>
      </c>
      <c r="D720" s="46"/>
      <c r="E720" s="47">
        <v>101577</v>
      </c>
      <c r="F720" s="48">
        <v>4</v>
      </c>
      <c r="G720" s="49" t="s">
        <v>4104</v>
      </c>
      <c r="H720" s="30" t="s">
        <v>1837</v>
      </c>
      <c r="I720" s="45" t="s">
        <v>107</v>
      </c>
      <c r="J720" s="49" t="s">
        <v>1838</v>
      </c>
      <c r="K720" s="50" t="str">
        <f>"00030977"</f>
        <v>00030977</v>
      </c>
    </row>
    <row r="721" spans="1:11" ht="45" customHeight="1">
      <c r="A721" s="30">
        <v>105</v>
      </c>
      <c r="B721" s="45" t="s">
        <v>365</v>
      </c>
      <c r="C721" s="45" t="s">
        <v>38</v>
      </c>
      <c r="D721" s="46"/>
      <c r="E721" s="47">
        <v>88231</v>
      </c>
      <c r="F721" s="48">
        <v>4</v>
      </c>
      <c r="G721" s="49" t="s">
        <v>4105</v>
      </c>
      <c r="H721" s="30" t="s">
        <v>1829</v>
      </c>
      <c r="I721" s="45" t="s">
        <v>1830</v>
      </c>
      <c r="J721" s="49" t="s">
        <v>1831</v>
      </c>
      <c r="K721" s="50" t="str">
        <f>"00030910"</f>
        <v>00030910</v>
      </c>
    </row>
    <row r="722" spans="1:11" ht="45" customHeight="1">
      <c r="A722" s="30">
        <v>105</v>
      </c>
      <c r="B722" s="45" t="s">
        <v>1834</v>
      </c>
      <c r="C722" s="45" t="s">
        <v>38</v>
      </c>
      <c r="D722" s="46"/>
      <c r="E722" s="47">
        <v>47272</v>
      </c>
      <c r="F722" s="48">
        <v>4</v>
      </c>
      <c r="G722" s="45" t="s">
        <v>4102</v>
      </c>
      <c r="H722" s="30" t="s">
        <v>1633</v>
      </c>
      <c r="I722" s="45" t="s">
        <v>100</v>
      </c>
      <c r="J722" s="45" t="s">
        <v>101</v>
      </c>
      <c r="K722" s="50" t="str">
        <f>"00031228"</f>
        <v>00031228</v>
      </c>
    </row>
    <row r="723" spans="1:11" ht="45" customHeight="1">
      <c r="A723" s="30">
        <v>105</v>
      </c>
      <c r="B723" s="45" t="s">
        <v>1832</v>
      </c>
      <c r="C723" s="45" t="s">
        <v>38</v>
      </c>
      <c r="D723" s="46"/>
      <c r="E723" s="47">
        <v>73317</v>
      </c>
      <c r="F723" s="48">
        <v>4</v>
      </c>
      <c r="G723" s="45" t="s">
        <v>4106</v>
      </c>
      <c r="H723" s="30" t="s">
        <v>1839</v>
      </c>
      <c r="I723" s="45" t="s">
        <v>111</v>
      </c>
      <c r="J723" s="45" t="s">
        <v>350</v>
      </c>
      <c r="K723" s="50" t="str">
        <f>"00030710"</f>
        <v>00030710</v>
      </c>
    </row>
    <row r="724" spans="1:11" ht="45" customHeight="1">
      <c r="A724" s="30">
        <v>105</v>
      </c>
      <c r="B724" s="45" t="s">
        <v>342</v>
      </c>
      <c r="C724" s="45" t="s">
        <v>38</v>
      </c>
      <c r="D724" s="46"/>
      <c r="E724" s="47">
        <v>45000</v>
      </c>
      <c r="F724" s="48">
        <v>4</v>
      </c>
      <c r="G724" s="45" t="s">
        <v>4107</v>
      </c>
      <c r="H724" s="30" t="s">
        <v>4079</v>
      </c>
      <c r="I724" s="45" t="s">
        <v>92</v>
      </c>
      <c r="J724" s="45" t="s">
        <v>218</v>
      </c>
      <c r="K724" s="50" t="str">
        <f>"00032390"</f>
        <v>00032390</v>
      </c>
    </row>
    <row r="725" spans="1:11" ht="45" customHeight="1">
      <c r="A725" s="30">
        <v>105</v>
      </c>
      <c r="B725" s="45" t="s">
        <v>1840</v>
      </c>
      <c r="C725" s="45" t="s">
        <v>38</v>
      </c>
      <c r="D725" s="46"/>
      <c r="E725" s="47">
        <v>107079</v>
      </c>
      <c r="F725" s="48">
        <v>4</v>
      </c>
      <c r="G725" s="45" t="s">
        <v>4108</v>
      </c>
      <c r="H725" s="30" t="s">
        <v>1841</v>
      </c>
      <c r="I725" s="45" t="s">
        <v>1842</v>
      </c>
      <c r="J725" s="51" t="s">
        <v>1843</v>
      </c>
      <c r="K725" s="50" t="str">
        <f>"00030767"</f>
        <v>00030767</v>
      </c>
    </row>
    <row r="726" spans="1:11" ht="45" customHeight="1">
      <c r="A726" s="30">
        <v>105</v>
      </c>
      <c r="B726" s="45" t="s">
        <v>362</v>
      </c>
      <c r="C726" s="45" t="s">
        <v>38</v>
      </c>
      <c r="D726" s="46"/>
      <c r="E726" s="47">
        <v>34211</v>
      </c>
      <c r="F726" s="48">
        <v>4</v>
      </c>
      <c r="G726" s="45" t="s">
        <v>4102</v>
      </c>
      <c r="H726" s="30" t="s">
        <v>1836</v>
      </c>
      <c r="I726" s="45" t="s">
        <v>100</v>
      </c>
      <c r="J726" s="45" t="s">
        <v>101</v>
      </c>
      <c r="K726" s="50" t="str">
        <f>"00031256"</f>
        <v>00031256</v>
      </c>
    </row>
    <row r="727" spans="1:11" ht="45" customHeight="1">
      <c r="A727" s="30">
        <v>105</v>
      </c>
      <c r="B727" s="45" t="s">
        <v>342</v>
      </c>
      <c r="C727" s="45" t="s">
        <v>38</v>
      </c>
      <c r="D727" s="46"/>
      <c r="E727" s="47">
        <v>87675</v>
      </c>
      <c r="F727" s="48">
        <v>4</v>
      </c>
      <c r="G727" s="49" t="s">
        <v>4109</v>
      </c>
      <c r="H727" s="30" t="s">
        <v>1887</v>
      </c>
      <c r="I727" s="45" t="s">
        <v>107</v>
      </c>
      <c r="J727" s="45" t="s">
        <v>1804</v>
      </c>
      <c r="K727" s="50" t="str">
        <f>"00031545"</f>
        <v>00031545</v>
      </c>
    </row>
    <row r="728" spans="1:11" ht="45" customHeight="1">
      <c r="A728" s="30">
        <v>105</v>
      </c>
      <c r="B728" s="45" t="s">
        <v>342</v>
      </c>
      <c r="C728" s="45" t="s">
        <v>38</v>
      </c>
      <c r="D728" s="46"/>
      <c r="E728" s="47">
        <v>123058</v>
      </c>
      <c r="F728" s="48">
        <v>4</v>
      </c>
      <c r="G728" s="53" t="s">
        <v>4110</v>
      </c>
      <c r="H728" s="30" t="s">
        <v>1884</v>
      </c>
      <c r="I728" s="45" t="s">
        <v>107</v>
      </c>
      <c r="J728" s="53" t="s">
        <v>1885</v>
      </c>
      <c r="K728" s="50" t="str">
        <f>"00031717"</f>
        <v>00031717</v>
      </c>
    </row>
    <row r="729" spans="1:11" ht="45" customHeight="1">
      <c r="A729" s="30">
        <v>105</v>
      </c>
      <c r="B729" s="45" t="s">
        <v>342</v>
      </c>
      <c r="C729" s="45" t="s">
        <v>38</v>
      </c>
      <c r="D729" s="46"/>
      <c r="E729" s="47">
        <v>93099</v>
      </c>
      <c r="F729" s="48">
        <v>4</v>
      </c>
      <c r="G729" s="49" t="s">
        <v>4109</v>
      </c>
      <c r="H729" s="30" t="s">
        <v>1886</v>
      </c>
      <c r="I729" s="45" t="s">
        <v>107</v>
      </c>
      <c r="J729" s="45" t="s">
        <v>1804</v>
      </c>
      <c r="K729" s="50" t="str">
        <f>"00031543"</f>
        <v>00031543</v>
      </c>
    </row>
    <row r="730" spans="1:11" ht="45" customHeight="1">
      <c r="A730" s="30">
        <v>104</v>
      </c>
      <c r="B730" s="45" t="s">
        <v>358</v>
      </c>
      <c r="C730" s="45" t="s">
        <v>38</v>
      </c>
      <c r="D730" s="46"/>
      <c r="E730" s="47">
        <v>-38510</v>
      </c>
      <c r="F730" s="48">
        <v>4</v>
      </c>
      <c r="G730" s="45" t="s">
        <v>4111</v>
      </c>
      <c r="H730" s="30" t="s">
        <v>274</v>
      </c>
      <c r="I730" s="45" t="s">
        <v>40</v>
      </c>
      <c r="J730" s="45" t="s">
        <v>125</v>
      </c>
      <c r="K730" s="149" t="s">
        <v>6089</v>
      </c>
    </row>
    <row r="731" spans="1:11" ht="45" customHeight="1">
      <c r="A731" s="30">
        <v>104</v>
      </c>
      <c r="B731" s="45" t="s">
        <v>358</v>
      </c>
      <c r="C731" s="45" t="s">
        <v>38</v>
      </c>
      <c r="D731" s="46"/>
      <c r="E731" s="47">
        <v>-34545</v>
      </c>
      <c r="F731" s="48">
        <v>4</v>
      </c>
      <c r="G731" s="45" t="s">
        <v>4111</v>
      </c>
      <c r="H731" s="30" t="s">
        <v>274</v>
      </c>
      <c r="I731" s="45" t="s">
        <v>40</v>
      </c>
      <c r="J731" s="45" t="s">
        <v>125</v>
      </c>
      <c r="K731" s="149" t="s">
        <v>6090</v>
      </c>
    </row>
    <row r="732" spans="1:11" ht="45" customHeight="1">
      <c r="A732" s="30"/>
      <c r="B732" s="58" t="s">
        <v>357</v>
      </c>
      <c r="C732" s="45"/>
      <c r="D732" s="46"/>
      <c r="E732" s="47">
        <f>SUM(E687:E731)</f>
        <v>3231184</v>
      </c>
      <c r="F732" s="48"/>
      <c r="G732" s="51"/>
      <c r="H732" s="30"/>
      <c r="I732" s="45"/>
      <c r="J732" s="45"/>
      <c r="K732" s="50"/>
    </row>
    <row r="733" spans="1:11" ht="45" customHeight="1">
      <c r="A733" s="30"/>
      <c r="B733" s="60" t="s">
        <v>681</v>
      </c>
      <c r="C733" s="45"/>
      <c r="D733" s="46"/>
      <c r="E733" s="47"/>
      <c r="F733" s="48"/>
      <c r="G733" s="51"/>
      <c r="H733" s="30"/>
      <c r="I733" s="45"/>
      <c r="J733" s="45"/>
      <c r="K733" s="50"/>
    </row>
    <row r="734" spans="1:11" ht="45" customHeight="1">
      <c r="A734" s="32">
        <v>105</v>
      </c>
      <c r="B734" s="45" t="s">
        <v>1938</v>
      </c>
      <c r="C734" s="65" t="s">
        <v>38</v>
      </c>
      <c r="D734" s="66"/>
      <c r="E734" s="59">
        <v>50000</v>
      </c>
      <c r="F734" s="67">
        <v>4</v>
      </c>
      <c r="G734" s="71" t="s">
        <v>1939</v>
      </c>
      <c r="H734" s="32" t="s">
        <v>1258</v>
      </c>
      <c r="I734" s="65" t="s">
        <v>100</v>
      </c>
      <c r="J734" s="65" t="s">
        <v>1301</v>
      </c>
      <c r="K734" s="68" t="str">
        <f>"00029004"</f>
        <v>00029004</v>
      </c>
    </row>
    <row r="735" spans="1:11" ht="45" customHeight="1">
      <c r="A735" s="32">
        <v>105</v>
      </c>
      <c r="B735" s="45" t="s">
        <v>1957</v>
      </c>
      <c r="C735" s="65" t="s">
        <v>38</v>
      </c>
      <c r="D735" s="66"/>
      <c r="E735" s="59">
        <v>117414</v>
      </c>
      <c r="F735" s="67">
        <v>4</v>
      </c>
      <c r="G735" s="70" t="s">
        <v>1964</v>
      </c>
      <c r="H735" s="32" t="s">
        <v>1965</v>
      </c>
      <c r="I735" s="65" t="s">
        <v>107</v>
      </c>
      <c r="J735" s="65" t="s">
        <v>1966</v>
      </c>
      <c r="K735" s="68" t="str">
        <f>"00029044"</f>
        <v>00029044</v>
      </c>
    </row>
    <row r="736" spans="1:11" ht="45" customHeight="1">
      <c r="A736" s="32">
        <v>105</v>
      </c>
      <c r="B736" s="45" t="s">
        <v>1967</v>
      </c>
      <c r="C736" s="65" t="s">
        <v>38</v>
      </c>
      <c r="D736" s="66"/>
      <c r="E736" s="59">
        <v>58603</v>
      </c>
      <c r="F736" s="67">
        <v>4</v>
      </c>
      <c r="G736" s="70" t="s">
        <v>1968</v>
      </c>
      <c r="H736" s="32" t="s">
        <v>1300</v>
      </c>
      <c r="I736" s="65" t="s">
        <v>100</v>
      </c>
      <c r="J736" s="65" t="s">
        <v>1301</v>
      </c>
      <c r="K736" s="68" t="str">
        <f>"00028968"</f>
        <v>00028968</v>
      </c>
    </row>
    <row r="737" spans="1:11" ht="45" customHeight="1">
      <c r="A737" s="32">
        <v>105</v>
      </c>
      <c r="B737" s="45" t="s">
        <v>1928</v>
      </c>
      <c r="C737" s="65" t="s">
        <v>38</v>
      </c>
      <c r="D737" s="66"/>
      <c r="E737" s="59">
        <v>40000</v>
      </c>
      <c r="F737" s="67">
        <v>4</v>
      </c>
      <c r="G737" s="65" t="s">
        <v>1962</v>
      </c>
      <c r="H737" s="32" t="s">
        <v>1963</v>
      </c>
      <c r="I737" s="65" t="s">
        <v>107</v>
      </c>
      <c r="J737" s="65" t="s">
        <v>1220</v>
      </c>
      <c r="K737" s="68" t="str">
        <f>"00028795"</f>
        <v>00028795</v>
      </c>
    </row>
    <row r="738" spans="1:11" ht="45" customHeight="1">
      <c r="A738" s="32">
        <v>105</v>
      </c>
      <c r="B738" s="49" t="s">
        <v>1942</v>
      </c>
      <c r="C738" s="65" t="s">
        <v>38</v>
      </c>
      <c r="D738" s="66"/>
      <c r="E738" s="59">
        <v>100000</v>
      </c>
      <c r="F738" s="67">
        <v>4</v>
      </c>
      <c r="G738" s="69" t="s">
        <v>1943</v>
      </c>
      <c r="H738" s="32" t="s">
        <v>1944</v>
      </c>
      <c r="I738" s="70" t="s">
        <v>1945</v>
      </c>
      <c r="J738" s="70" t="s">
        <v>1946</v>
      </c>
      <c r="K738" s="68" t="str">
        <f>"00028967"</f>
        <v>00028967</v>
      </c>
    </row>
    <row r="739" spans="1:11" ht="45" customHeight="1">
      <c r="A739" s="32">
        <v>105</v>
      </c>
      <c r="B739" s="45" t="s">
        <v>1947</v>
      </c>
      <c r="C739" s="65" t="s">
        <v>38</v>
      </c>
      <c r="D739" s="66"/>
      <c r="E739" s="59">
        <v>115000</v>
      </c>
      <c r="F739" s="67">
        <v>4</v>
      </c>
      <c r="G739" s="74" t="s">
        <v>1948</v>
      </c>
      <c r="H739" s="32" t="s">
        <v>1949</v>
      </c>
      <c r="I739" s="65" t="s">
        <v>107</v>
      </c>
      <c r="J739" s="69" t="s">
        <v>1950</v>
      </c>
      <c r="K739" s="68" t="str">
        <f>"00029435"</f>
        <v>00029435</v>
      </c>
    </row>
    <row r="740" spans="1:11" ht="45" customHeight="1">
      <c r="A740" s="32">
        <v>105</v>
      </c>
      <c r="B740" s="45" t="s">
        <v>1938</v>
      </c>
      <c r="C740" s="65" t="s">
        <v>38</v>
      </c>
      <c r="D740" s="66"/>
      <c r="E740" s="59">
        <v>70000</v>
      </c>
      <c r="F740" s="67">
        <v>4</v>
      </c>
      <c r="G740" s="69" t="s">
        <v>1940</v>
      </c>
      <c r="H740" s="32" t="s">
        <v>1941</v>
      </c>
      <c r="I740" s="65" t="s">
        <v>150</v>
      </c>
      <c r="J740" s="65" t="s">
        <v>151</v>
      </c>
      <c r="K740" s="68" t="str">
        <f>"00028988"</f>
        <v>00028988</v>
      </c>
    </row>
    <row r="741" spans="1:11" ht="45" customHeight="1">
      <c r="A741" s="32">
        <v>105</v>
      </c>
      <c r="B741" s="45" t="s">
        <v>676</v>
      </c>
      <c r="C741" s="65" t="s">
        <v>38</v>
      </c>
      <c r="D741" s="66"/>
      <c r="E741" s="59">
        <v>93399</v>
      </c>
      <c r="F741" s="67">
        <v>4</v>
      </c>
      <c r="G741" s="65" t="s">
        <v>1954</v>
      </c>
      <c r="H741" s="32" t="s">
        <v>1955</v>
      </c>
      <c r="I741" s="65" t="s">
        <v>533</v>
      </c>
      <c r="J741" s="65" t="s">
        <v>1956</v>
      </c>
      <c r="K741" s="75" t="s">
        <v>3751</v>
      </c>
    </row>
    <row r="742" spans="1:11" ht="45" customHeight="1">
      <c r="A742" s="32">
        <v>105</v>
      </c>
      <c r="B742" s="45" t="s">
        <v>1922</v>
      </c>
      <c r="C742" s="65" t="s">
        <v>38</v>
      </c>
      <c r="D742" s="66"/>
      <c r="E742" s="59">
        <v>41360</v>
      </c>
      <c r="F742" s="67">
        <v>4</v>
      </c>
      <c r="G742" s="79" t="s">
        <v>1923</v>
      </c>
      <c r="H742" s="32" t="s">
        <v>1624</v>
      </c>
      <c r="I742" s="65" t="s">
        <v>275</v>
      </c>
      <c r="J742" s="65" t="s">
        <v>276</v>
      </c>
      <c r="K742" s="68" t="str">
        <f>"00027951"</f>
        <v>00027951</v>
      </c>
    </row>
    <row r="743" spans="1:11" ht="45" customHeight="1">
      <c r="A743" s="32">
        <v>105</v>
      </c>
      <c r="B743" s="45" t="s">
        <v>1957</v>
      </c>
      <c r="C743" s="65" t="s">
        <v>38</v>
      </c>
      <c r="D743" s="66"/>
      <c r="E743" s="59">
        <v>40000</v>
      </c>
      <c r="F743" s="67">
        <v>4</v>
      </c>
      <c r="G743" s="65" t="s">
        <v>1958</v>
      </c>
      <c r="H743" s="32" t="s">
        <v>1959</v>
      </c>
      <c r="I743" s="65" t="s">
        <v>107</v>
      </c>
      <c r="J743" s="65" t="s">
        <v>1780</v>
      </c>
      <c r="K743" s="68" t="str">
        <f>"00028969"</f>
        <v>00028969</v>
      </c>
    </row>
    <row r="744" spans="1:11" ht="45" customHeight="1">
      <c r="A744" s="32">
        <v>105</v>
      </c>
      <c r="B744" s="45" t="s">
        <v>1957</v>
      </c>
      <c r="C744" s="65" t="s">
        <v>38</v>
      </c>
      <c r="D744" s="66"/>
      <c r="E744" s="59">
        <v>117239</v>
      </c>
      <c r="F744" s="67">
        <v>4</v>
      </c>
      <c r="G744" s="69" t="s">
        <v>1960</v>
      </c>
      <c r="H744" s="32" t="s">
        <v>1961</v>
      </c>
      <c r="I744" s="65" t="s">
        <v>107</v>
      </c>
      <c r="J744" s="65" t="s">
        <v>1220</v>
      </c>
      <c r="K744" s="68" t="str">
        <f>"00029634"</f>
        <v>00029634</v>
      </c>
    </row>
    <row r="745" spans="1:11" ht="45" customHeight="1">
      <c r="A745" s="32">
        <v>105</v>
      </c>
      <c r="B745" s="45" t="s">
        <v>1951</v>
      </c>
      <c r="C745" s="65" t="s">
        <v>38</v>
      </c>
      <c r="D745" s="66"/>
      <c r="E745" s="59">
        <v>59084</v>
      </c>
      <c r="F745" s="67">
        <v>4</v>
      </c>
      <c r="G745" s="65" t="s">
        <v>1952</v>
      </c>
      <c r="H745" s="32" t="s">
        <v>1953</v>
      </c>
      <c r="I745" s="65" t="s">
        <v>107</v>
      </c>
      <c r="J745" s="65" t="s">
        <v>1446</v>
      </c>
      <c r="K745" s="68" t="str">
        <f>"00029145"</f>
        <v>00029145</v>
      </c>
    </row>
    <row r="746" spans="1:11" ht="45" customHeight="1">
      <c r="A746" s="32">
        <v>105</v>
      </c>
      <c r="B746" s="51" t="s">
        <v>667</v>
      </c>
      <c r="C746" s="65" t="s">
        <v>38</v>
      </c>
      <c r="D746" s="66"/>
      <c r="E746" s="59">
        <v>110042</v>
      </c>
      <c r="F746" s="67">
        <v>4</v>
      </c>
      <c r="G746" s="69" t="s">
        <v>1935</v>
      </c>
      <c r="H746" s="32" t="s">
        <v>1936</v>
      </c>
      <c r="I746" s="65" t="s">
        <v>179</v>
      </c>
      <c r="J746" s="65" t="s">
        <v>1937</v>
      </c>
      <c r="K746" s="68" t="str">
        <f>"00030141"</f>
        <v>00030141</v>
      </c>
    </row>
    <row r="747" spans="1:11" ht="45" customHeight="1">
      <c r="A747" s="32">
        <v>105</v>
      </c>
      <c r="B747" s="45" t="s">
        <v>1933</v>
      </c>
      <c r="C747" s="65" t="s">
        <v>38</v>
      </c>
      <c r="D747" s="66"/>
      <c r="E747" s="59">
        <v>100000</v>
      </c>
      <c r="F747" s="67">
        <v>4</v>
      </c>
      <c r="G747" s="65" t="s">
        <v>1934</v>
      </c>
      <c r="H747" s="32" t="s">
        <v>1932</v>
      </c>
      <c r="I747" s="65" t="s">
        <v>264</v>
      </c>
      <c r="J747" s="65" t="s">
        <v>265</v>
      </c>
      <c r="K747" s="68" t="str">
        <f>"00030019"</f>
        <v>00030019</v>
      </c>
    </row>
    <row r="748" spans="1:11" ht="45" customHeight="1">
      <c r="A748" s="32">
        <v>105</v>
      </c>
      <c r="B748" s="49" t="s">
        <v>1930</v>
      </c>
      <c r="C748" s="65" t="s">
        <v>38</v>
      </c>
      <c r="D748" s="66"/>
      <c r="E748" s="59">
        <v>100000</v>
      </c>
      <c r="F748" s="67">
        <v>4</v>
      </c>
      <c r="G748" s="79" t="s">
        <v>1931</v>
      </c>
      <c r="H748" s="32" t="s">
        <v>1932</v>
      </c>
      <c r="I748" s="65" t="s">
        <v>264</v>
      </c>
      <c r="J748" s="65" t="s">
        <v>265</v>
      </c>
      <c r="K748" s="68" t="str">
        <f>"00030018"</f>
        <v>00030018</v>
      </c>
    </row>
    <row r="749" spans="1:11" ht="45" customHeight="1">
      <c r="A749" s="32">
        <v>105</v>
      </c>
      <c r="B749" s="45" t="s">
        <v>665</v>
      </c>
      <c r="C749" s="65" t="s">
        <v>38</v>
      </c>
      <c r="D749" s="66"/>
      <c r="E749" s="59">
        <v>69921</v>
      </c>
      <c r="F749" s="67">
        <v>4</v>
      </c>
      <c r="G749" s="65" t="s">
        <v>1926</v>
      </c>
      <c r="H749" s="32" t="s">
        <v>1927</v>
      </c>
      <c r="I749" s="65" t="s">
        <v>92</v>
      </c>
      <c r="J749" s="65" t="s">
        <v>156</v>
      </c>
      <c r="K749" s="68" t="str">
        <f>"00028517"</f>
        <v>00028517</v>
      </c>
    </row>
    <row r="750" spans="1:11" ht="45" customHeight="1">
      <c r="A750" s="32">
        <v>105</v>
      </c>
      <c r="B750" s="45" t="s">
        <v>1924</v>
      </c>
      <c r="C750" s="65" t="s">
        <v>38</v>
      </c>
      <c r="D750" s="66"/>
      <c r="E750" s="59">
        <v>74113</v>
      </c>
      <c r="F750" s="67">
        <v>4</v>
      </c>
      <c r="G750" s="79" t="s">
        <v>1925</v>
      </c>
      <c r="H750" s="32" t="s">
        <v>1258</v>
      </c>
      <c r="I750" s="65" t="s">
        <v>100</v>
      </c>
      <c r="J750" s="65" t="s">
        <v>1301</v>
      </c>
      <c r="K750" s="68" t="str">
        <f>"00028511"</f>
        <v>00028511</v>
      </c>
    </row>
    <row r="751" spans="1:11" ht="45" customHeight="1">
      <c r="A751" s="32">
        <v>105</v>
      </c>
      <c r="B751" s="45" t="s">
        <v>1969</v>
      </c>
      <c r="C751" s="65" t="s">
        <v>38</v>
      </c>
      <c r="D751" s="66"/>
      <c r="E751" s="59">
        <v>10378</v>
      </c>
      <c r="F751" s="67">
        <v>4</v>
      </c>
      <c r="G751" s="65" t="s">
        <v>1970</v>
      </c>
      <c r="H751" s="32" t="s">
        <v>1971</v>
      </c>
      <c r="I751" s="65" t="s">
        <v>111</v>
      </c>
      <c r="J751" s="65" t="s">
        <v>350</v>
      </c>
      <c r="K751" s="68" t="str">
        <f>"00029906"</f>
        <v>00029906</v>
      </c>
    </row>
    <row r="752" spans="1:11" ht="45" customHeight="1">
      <c r="A752" s="32">
        <v>105</v>
      </c>
      <c r="B752" s="45" t="s">
        <v>666</v>
      </c>
      <c r="C752" s="65" t="s">
        <v>38</v>
      </c>
      <c r="D752" s="66"/>
      <c r="E752" s="59">
        <v>100000</v>
      </c>
      <c r="F752" s="67">
        <v>4</v>
      </c>
      <c r="G752" s="72" t="s">
        <v>1920</v>
      </c>
      <c r="H752" s="32" t="s">
        <v>1921</v>
      </c>
      <c r="I752" s="65" t="s">
        <v>264</v>
      </c>
      <c r="J752" s="65" t="s">
        <v>265</v>
      </c>
      <c r="K752" s="77" t="s">
        <v>3752</v>
      </c>
    </row>
    <row r="753" spans="1:11" ht="45" customHeight="1">
      <c r="A753" s="32">
        <v>105</v>
      </c>
      <c r="B753" s="45" t="s">
        <v>1928</v>
      </c>
      <c r="C753" s="65" t="s">
        <v>38</v>
      </c>
      <c r="D753" s="66"/>
      <c r="E753" s="59">
        <v>80000</v>
      </c>
      <c r="F753" s="67">
        <v>4</v>
      </c>
      <c r="G753" s="65" t="s">
        <v>1929</v>
      </c>
      <c r="H753" s="32" t="s">
        <v>1652</v>
      </c>
      <c r="I753" s="65" t="s">
        <v>107</v>
      </c>
      <c r="J753" s="65" t="s">
        <v>1220</v>
      </c>
      <c r="K753" s="68" t="str">
        <f>"00028270"</f>
        <v>00028270</v>
      </c>
    </row>
    <row r="754" spans="1:11" ht="45" customHeight="1">
      <c r="A754" s="32">
        <v>105</v>
      </c>
      <c r="B754" s="45" t="s">
        <v>1916</v>
      </c>
      <c r="C754" s="65" t="s">
        <v>38</v>
      </c>
      <c r="D754" s="66"/>
      <c r="E754" s="59">
        <v>26023</v>
      </c>
      <c r="F754" s="67">
        <v>4</v>
      </c>
      <c r="G754" s="65" t="s">
        <v>1917</v>
      </c>
      <c r="H754" s="32" t="s">
        <v>1918</v>
      </c>
      <c r="I754" s="65" t="s">
        <v>111</v>
      </c>
      <c r="J754" s="65" t="s">
        <v>1919</v>
      </c>
      <c r="K754" s="68" t="str">
        <f>"00030813"</f>
        <v>00030813</v>
      </c>
    </row>
    <row r="755" spans="1:11" ht="45" customHeight="1">
      <c r="A755" s="32">
        <v>105</v>
      </c>
      <c r="B755" s="51" t="s">
        <v>671</v>
      </c>
      <c r="C755" s="65" t="s">
        <v>38</v>
      </c>
      <c r="D755" s="66"/>
      <c r="E755" s="59">
        <v>12076</v>
      </c>
      <c r="F755" s="67">
        <v>4</v>
      </c>
      <c r="G755" s="79" t="s">
        <v>1913</v>
      </c>
      <c r="H755" s="32" t="s">
        <v>1029</v>
      </c>
      <c r="I755" s="65" t="s">
        <v>107</v>
      </c>
      <c r="J755" s="70" t="s">
        <v>149</v>
      </c>
      <c r="K755" s="68" t="str">
        <f>"00028789"</f>
        <v>00028789</v>
      </c>
    </row>
    <row r="756" spans="1:11" ht="45" customHeight="1">
      <c r="A756" s="32">
        <v>105</v>
      </c>
      <c r="B756" s="45" t="s">
        <v>672</v>
      </c>
      <c r="C756" s="65" t="s">
        <v>38</v>
      </c>
      <c r="D756" s="66"/>
      <c r="E756" s="59">
        <v>116459</v>
      </c>
      <c r="F756" s="67">
        <v>4</v>
      </c>
      <c r="G756" s="65" t="s">
        <v>1914</v>
      </c>
      <c r="H756" s="32" t="s">
        <v>1915</v>
      </c>
      <c r="I756" s="65" t="s">
        <v>154</v>
      </c>
      <c r="J756" s="65" t="s">
        <v>155</v>
      </c>
      <c r="K756" s="68" t="str">
        <f>"00030182"</f>
        <v>00030182</v>
      </c>
    </row>
    <row r="757" spans="1:11" ht="45" customHeight="1">
      <c r="A757" s="32">
        <v>105</v>
      </c>
      <c r="B757" s="45" t="s">
        <v>1972</v>
      </c>
      <c r="C757" s="65" t="s">
        <v>38</v>
      </c>
      <c r="D757" s="66"/>
      <c r="E757" s="59">
        <v>60000</v>
      </c>
      <c r="F757" s="67">
        <v>4</v>
      </c>
      <c r="G757" s="70" t="s">
        <v>1973</v>
      </c>
      <c r="H757" s="32" t="s">
        <v>1974</v>
      </c>
      <c r="I757" s="65" t="s">
        <v>179</v>
      </c>
      <c r="J757" s="65" t="s">
        <v>1975</v>
      </c>
      <c r="K757" s="68" t="str">
        <f>"00030176"</f>
        <v>00030176</v>
      </c>
    </row>
    <row r="758" spans="1:11" ht="45" customHeight="1">
      <c r="A758" s="32">
        <v>105</v>
      </c>
      <c r="B758" s="45" t="s">
        <v>1979</v>
      </c>
      <c r="C758" s="65" t="s">
        <v>38</v>
      </c>
      <c r="D758" s="66"/>
      <c r="E758" s="59">
        <v>126716</v>
      </c>
      <c r="F758" s="67">
        <v>4</v>
      </c>
      <c r="G758" s="65" t="s">
        <v>1980</v>
      </c>
      <c r="H758" s="32" t="s">
        <v>1621</v>
      </c>
      <c r="I758" s="65" t="s">
        <v>107</v>
      </c>
      <c r="J758" s="65" t="s">
        <v>810</v>
      </c>
      <c r="K758" s="78" t="s">
        <v>6091</v>
      </c>
    </row>
    <row r="759" spans="1:11" ht="45" customHeight="1">
      <c r="A759" s="32">
        <v>105</v>
      </c>
      <c r="B759" s="45" t="s">
        <v>1976</v>
      </c>
      <c r="C759" s="65" t="s">
        <v>38</v>
      </c>
      <c r="D759" s="66"/>
      <c r="E759" s="59">
        <v>39550</v>
      </c>
      <c r="F759" s="67">
        <v>4</v>
      </c>
      <c r="G759" s="65" t="s">
        <v>1977</v>
      </c>
      <c r="H759" s="32" t="s">
        <v>1978</v>
      </c>
      <c r="I759" s="65" t="s">
        <v>264</v>
      </c>
      <c r="J759" s="65" t="s">
        <v>265</v>
      </c>
      <c r="K759" s="68" t="str">
        <f>"00030017"</f>
        <v>00030017</v>
      </c>
    </row>
    <row r="760" spans="1:11" ht="45" customHeight="1">
      <c r="A760" s="32">
        <v>105</v>
      </c>
      <c r="B760" s="49" t="s">
        <v>1943</v>
      </c>
      <c r="C760" s="65" t="s">
        <v>38</v>
      </c>
      <c r="D760" s="66"/>
      <c r="E760" s="59">
        <v>10611</v>
      </c>
      <c r="F760" s="67">
        <v>4</v>
      </c>
      <c r="G760" s="69" t="s">
        <v>1943</v>
      </c>
      <c r="H760" s="32" t="s">
        <v>1944</v>
      </c>
      <c r="I760" s="70" t="s">
        <v>1945</v>
      </c>
      <c r="J760" s="70" t="s">
        <v>1946</v>
      </c>
      <c r="K760" s="68" t="str">
        <f>"00028967"</f>
        <v>00028967</v>
      </c>
    </row>
    <row r="761" spans="1:11" ht="45" customHeight="1">
      <c r="A761" s="32">
        <v>105</v>
      </c>
      <c r="B761" s="45" t="s">
        <v>3766</v>
      </c>
      <c r="C761" s="65" t="s">
        <v>38</v>
      </c>
      <c r="D761" s="66"/>
      <c r="E761" s="59">
        <v>2829</v>
      </c>
      <c r="F761" s="67">
        <v>4</v>
      </c>
      <c r="G761" s="65" t="s">
        <v>3767</v>
      </c>
      <c r="H761" s="32" t="s">
        <v>1921</v>
      </c>
      <c r="I761" s="65" t="s">
        <v>264</v>
      </c>
      <c r="J761" s="65" t="s">
        <v>265</v>
      </c>
      <c r="K761" s="68" t="str">
        <f>"00029414"</f>
        <v>00029414</v>
      </c>
    </row>
    <row r="762" spans="1:11" ht="45" customHeight="1">
      <c r="A762" s="32">
        <v>105</v>
      </c>
      <c r="B762" s="45" t="s">
        <v>3768</v>
      </c>
      <c r="C762" s="65" t="s">
        <v>38</v>
      </c>
      <c r="D762" s="66"/>
      <c r="E762" s="59">
        <v>70000</v>
      </c>
      <c r="F762" s="67">
        <v>4</v>
      </c>
      <c r="G762" s="69" t="s">
        <v>3769</v>
      </c>
      <c r="H762" s="32" t="s">
        <v>3770</v>
      </c>
      <c r="I762" s="65" t="s">
        <v>111</v>
      </c>
      <c r="J762" s="65" t="s">
        <v>3771</v>
      </c>
      <c r="K762" s="68" t="str">
        <f>"00030921"</f>
        <v>00030921</v>
      </c>
    </row>
    <row r="763" spans="1:11" ht="45" customHeight="1">
      <c r="A763" s="32">
        <v>104</v>
      </c>
      <c r="B763" s="45" t="s">
        <v>668</v>
      </c>
      <c r="C763" s="65" t="s">
        <v>38</v>
      </c>
      <c r="D763" s="66"/>
      <c r="E763" s="59">
        <v>253</v>
      </c>
      <c r="F763" s="67">
        <v>4</v>
      </c>
      <c r="G763" s="74" t="s">
        <v>669</v>
      </c>
      <c r="H763" s="32" t="s">
        <v>320</v>
      </c>
      <c r="I763" s="65" t="s">
        <v>269</v>
      </c>
      <c r="J763" s="65" t="s">
        <v>270</v>
      </c>
      <c r="K763" s="88" t="s">
        <v>6092</v>
      </c>
    </row>
    <row r="764" spans="1:11" ht="45" customHeight="1">
      <c r="A764" s="32">
        <v>104</v>
      </c>
      <c r="B764" s="45" t="s">
        <v>3772</v>
      </c>
      <c r="C764" s="65" t="s">
        <v>38</v>
      </c>
      <c r="D764" s="66"/>
      <c r="E764" s="59">
        <v>73017</v>
      </c>
      <c r="F764" s="67">
        <v>4</v>
      </c>
      <c r="G764" s="74" t="s">
        <v>669</v>
      </c>
      <c r="H764" s="32" t="s">
        <v>320</v>
      </c>
      <c r="I764" s="65" t="s">
        <v>269</v>
      </c>
      <c r="J764" s="65" t="s">
        <v>270</v>
      </c>
      <c r="K764" s="89" t="s">
        <v>3882</v>
      </c>
    </row>
    <row r="765" spans="1:11" ht="45" customHeight="1">
      <c r="A765" s="32">
        <v>104</v>
      </c>
      <c r="B765" s="45" t="s">
        <v>3773</v>
      </c>
      <c r="C765" s="65" t="s">
        <v>38</v>
      </c>
      <c r="D765" s="66"/>
      <c r="E765" s="59">
        <v>42014</v>
      </c>
      <c r="F765" s="67">
        <v>4</v>
      </c>
      <c r="G765" s="65" t="s">
        <v>683</v>
      </c>
      <c r="H765" s="32" t="s">
        <v>673</v>
      </c>
      <c r="I765" s="65" t="s">
        <v>674</v>
      </c>
      <c r="J765" s="69" t="s">
        <v>675</v>
      </c>
      <c r="K765" s="89" t="s">
        <v>3883</v>
      </c>
    </row>
    <row r="766" spans="1:11" ht="45" customHeight="1">
      <c r="A766" s="32">
        <v>104</v>
      </c>
      <c r="B766" s="45" t="s">
        <v>677</v>
      </c>
      <c r="C766" s="65" t="s">
        <v>38</v>
      </c>
      <c r="D766" s="66"/>
      <c r="E766" s="59">
        <v>92302</v>
      </c>
      <c r="F766" s="67">
        <v>4</v>
      </c>
      <c r="G766" s="65" t="s">
        <v>678</v>
      </c>
      <c r="H766" s="32" t="s">
        <v>679</v>
      </c>
      <c r="I766" s="65" t="s">
        <v>470</v>
      </c>
      <c r="J766" s="69" t="s">
        <v>680</v>
      </c>
      <c r="K766" s="89" t="s">
        <v>3884</v>
      </c>
    </row>
    <row r="767" spans="1:11" ht="45" customHeight="1">
      <c r="A767" s="32">
        <v>104</v>
      </c>
      <c r="B767" s="45" t="s">
        <v>668</v>
      </c>
      <c r="C767" s="65" t="s">
        <v>38</v>
      </c>
      <c r="D767" s="66"/>
      <c r="E767" s="59">
        <v>-1544</v>
      </c>
      <c r="F767" s="67">
        <v>4</v>
      </c>
      <c r="G767" s="74" t="s">
        <v>669</v>
      </c>
      <c r="H767" s="32" t="s">
        <v>670</v>
      </c>
      <c r="I767" s="65" t="s">
        <v>269</v>
      </c>
      <c r="J767" s="65" t="s">
        <v>270</v>
      </c>
      <c r="K767" s="88" t="s">
        <v>6093</v>
      </c>
    </row>
    <row r="768" spans="1:11" ht="45" customHeight="1">
      <c r="A768" s="32">
        <v>104</v>
      </c>
      <c r="B768" s="45" t="s">
        <v>668</v>
      </c>
      <c r="C768" s="65" t="s">
        <v>38</v>
      </c>
      <c r="D768" s="66"/>
      <c r="E768" s="59">
        <v>-1544</v>
      </c>
      <c r="F768" s="67">
        <v>4</v>
      </c>
      <c r="G768" s="74" t="s">
        <v>669</v>
      </c>
      <c r="H768" s="32" t="s">
        <v>670</v>
      </c>
      <c r="I768" s="65" t="s">
        <v>269</v>
      </c>
      <c r="J768" s="65" t="s">
        <v>270</v>
      </c>
      <c r="K768" s="88" t="s">
        <v>6094</v>
      </c>
    </row>
    <row r="769" spans="1:11" ht="45" customHeight="1">
      <c r="A769" s="32">
        <v>104</v>
      </c>
      <c r="B769" s="45" t="s">
        <v>668</v>
      </c>
      <c r="C769" s="65" t="s">
        <v>38</v>
      </c>
      <c r="D769" s="66"/>
      <c r="E769" s="59">
        <v>-1544</v>
      </c>
      <c r="F769" s="67">
        <v>4</v>
      </c>
      <c r="G769" s="74" t="s">
        <v>669</v>
      </c>
      <c r="H769" s="32" t="s">
        <v>670</v>
      </c>
      <c r="I769" s="65" t="s">
        <v>269</v>
      </c>
      <c r="J769" s="65" t="s">
        <v>270</v>
      </c>
      <c r="K769" s="88" t="s">
        <v>6095</v>
      </c>
    </row>
    <row r="770" spans="1:11" ht="45" customHeight="1">
      <c r="A770" s="32">
        <v>104</v>
      </c>
      <c r="B770" s="45" t="s">
        <v>668</v>
      </c>
      <c r="C770" s="65" t="s">
        <v>38</v>
      </c>
      <c r="D770" s="66"/>
      <c r="E770" s="59">
        <v>-1544</v>
      </c>
      <c r="F770" s="67">
        <v>4</v>
      </c>
      <c r="G770" s="74" t="s">
        <v>669</v>
      </c>
      <c r="H770" s="32" t="s">
        <v>670</v>
      </c>
      <c r="I770" s="65" t="s">
        <v>269</v>
      </c>
      <c r="J770" s="65" t="s">
        <v>270</v>
      </c>
      <c r="K770" s="88" t="s">
        <v>6096</v>
      </c>
    </row>
    <row r="771" spans="1:11" ht="45" customHeight="1">
      <c r="A771" s="32">
        <v>104</v>
      </c>
      <c r="B771" s="45" t="s">
        <v>668</v>
      </c>
      <c r="C771" s="65" t="s">
        <v>38</v>
      </c>
      <c r="D771" s="66"/>
      <c r="E771" s="59">
        <v>-1544</v>
      </c>
      <c r="F771" s="67">
        <v>4</v>
      </c>
      <c r="G771" s="74" t="s">
        <v>669</v>
      </c>
      <c r="H771" s="32" t="s">
        <v>673</v>
      </c>
      <c r="I771" s="65" t="s">
        <v>674</v>
      </c>
      <c r="J771" s="69" t="s">
        <v>675</v>
      </c>
      <c r="K771" s="88" t="s">
        <v>6097</v>
      </c>
    </row>
    <row r="772" spans="1:11" ht="45" customHeight="1">
      <c r="A772" s="32"/>
      <c r="B772" s="58" t="s">
        <v>714</v>
      </c>
      <c r="C772" s="65"/>
      <c r="D772" s="66"/>
      <c r="E772" s="59">
        <f>SUM(E734:E771)</f>
        <v>2210683</v>
      </c>
      <c r="F772" s="67"/>
      <c r="G772" s="65"/>
      <c r="H772" s="32"/>
      <c r="I772" s="65"/>
      <c r="J772" s="65"/>
      <c r="K772" s="68"/>
    </row>
    <row r="773" spans="1:11" ht="45" customHeight="1">
      <c r="A773" s="30"/>
      <c r="B773" s="56" t="s">
        <v>374</v>
      </c>
      <c r="C773" s="45"/>
      <c r="D773" s="46"/>
      <c r="E773" s="47"/>
      <c r="F773" s="48"/>
      <c r="G773" s="45"/>
      <c r="H773" s="30"/>
      <c r="I773" s="45"/>
      <c r="J773" s="45"/>
      <c r="K773" s="50"/>
    </row>
    <row r="774" spans="1:11" ht="45" customHeight="1">
      <c r="A774" s="32">
        <v>105</v>
      </c>
      <c r="B774" s="45" t="s">
        <v>1476</v>
      </c>
      <c r="C774" s="65" t="s">
        <v>38</v>
      </c>
      <c r="D774" s="66"/>
      <c r="E774" s="59">
        <v>80000</v>
      </c>
      <c r="F774" s="67">
        <v>4</v>
      </c>
      <c r="G774" s="72" t="s">
        <v>1480</v>
      </c>
      <c r="H774" s="32" t="s">
        <v>1478</v>
      </c>
      <c r="I774" s="70" t="s">
        <v>96</v>
      </c>
      <c r="J774" s="65" t="s">
        <v>1481</v>
      </c>
      <c r="K774" s="75" t="s">
        <v>3651</v>
      </c>
    </row>
    <row r="775" spans="1:11" ht="45" customHeight="1">
      <c r="A775" s="32">
        <v>105</v>
      </c>
      <c r="B775" s="51" t="s">
        <v>1473</v>
      </c>
      <c r="C775" s="65" t="s">
        <v>38</v>
      </c>
      <c r="D775" s="66"/>
      <c r="E775" s="59">
        <v>83459</v>
      </c>
      <c r="F775" s="67">
        <v>4</v>
      </c>
      <c r="G775" s="69" t="s">
        <v>1474</v>
      </c>
      <c r="H775" s="32" t="s">
        <v>1475</v>
      </c>
      <c r="I775" s="70" t="s">
        <v>92</v>
      </c>
      <c r="J775" s="65" t="s">
        <v>156</v>
      </c>
      <c r="K775" s="68" t="str">
        <f>"00030610"</f>
        <v>00030610</v>
      </c>
    </row>
    <row r="776" spans="1:11" ht="45" customHeight="1">
      <c r="A776" s="32">
        <v>105</v>
      </c>
      <c r="B776" s="45" t="s">
        <v>372</v>
      </c>
      <c r="C776" s="65" t="s">
        <v>38</v>
      </c>
      <c r="D776" s="66"/>
      <c r="E776" s="59">
        <v>100388</v>
      </c>
      <c r="F776" s="67">
        <v>4</v>
      </c>
      <c r="G776" s="72" t="s">
        <v>1484</v>
      </c>
      <c r="H776" s="32" t="s">
        <v>819</v>
      </c>
      <c r="I776" s="70" t="s">
        <v>96</v>
      </c>
      <c r="J776" s="65" t="s">
        <v>1485</v>
      </c>
      <c r="K776" s="68" t="str">
        <f>"00028781"</f>
        <v>00028781</v>
      </c>
    </row>
    <row r="777" spans="1:11" ht="45" customHeight="1">
      <c r="A777" s="32">
        <v>105</v>
      </c>
      <c r="B777" s="45" t="s">
        <v>1465</v>
      </c>
      <c r="C777" s="65" t="s">
        <v>38</v>
      </c>
      <c r="D777" s="66"/>
      <c r="E777" s="59">
        <v>120000</v>
      </c>
      <c r="F777" s="67">
        <v>4</v>
      </c>
      <c r="G777" s="69" t="s">
        <v>1466</v>
      </c>
      <c r="H777" s="32" t="s">
        <v>1467</v>
      </c>
      <c r="I777" s="70" t="s">
        <v>158</v>
      </c>
      <c r="J777" s="71" t="s">
        <v>1468</v>
      </c>
      <c r="K777" s="68" t="str">
        <f>"00030488"</f>
        <v>00030488</v>
      </c>
    </row>
    <row r="778" spans="1:11" ht="45" customHeight="1">
      <c r="A778" s="32">
        <v>105</v>
      </c>
      <c r="B778" s="45" t="s">
        <v>1486</v>
      </c>
      <c r="C778" s="65" t="s">
        <v>38</v>
      </c>
      <c r="D778" s="66"/>
      <c r="E778" s="59">
        <v>45423</v>
      </c>
      <c r="F778" s="67">
        <v>4</v>
      </c>
      <c r="G778" s="70" t="s">
        <v>1487</v>
      </c>
      <c r="H778" s="32" t="s">
        <v>1488</v>
      </c>
      <c r="I778" s="70" t="s">
        <v>92</v>
      </c>
      <c r="J778" s="65" t="s">
        <v>156</v>
      </c>
      <c r="K778" s="68" t="str">
        <f>"00032529"</f>
        <v>00032529</v>
      </c>
    </row>
    <row r="779" spans="1:11" ht="45" customHeight="1">
      <c r="A779" s="32">
        <v>105</v>
      </c>
      <c r="B779" s="45" t="s">
        <v>373</v>
      </c>
      <c r="C779" s="65" t="s">
        <v>38</v>
      </c>
      <c r="D779" s="66"/>
      <c r="E779" s="59">
        <v>139659</v>
      </c>
      <c r="F779" s="67">
        <v>4</v>
      </c>
      <c r="G779" s="72" t="s">
        <v>1462</v>
      </c>
      <c r="H779" s="32" t="s">
        <v>1463</v>
      </c>
      <c r="I779" s="70" t="s">
        <v>92</v>
      </c>
      <c r="J779" s="65" t="s">
        <v>1464</v>
      </c>
      <c r="K779" s="75" t="s">
        <v>3652</v>
      </c>
    </row>
    <row r="780" spans="1:11" ht="45" customHeight="1">
      <c r="A780" s="32">
        <v>105</v>
      </c>
      <c r="B780" s="51" t="s">
        <v>1469</v>
      </c>
      <c r="C780" s="65" t="s">
        <v>38</v>
      </c>
      <c r="D780" s="66"/>
      <c r="E780" s="59">
        <v>80000</v>
      </c>
      <c r="F780" s="67">
        <v>4</v>
      </c>
      <c r="G780" s="71" t="s">
        <v>1470</v>
      </c>
      <c r="H780" s="32" t="s">
        <v>1471</v>
      </c>
      <c r="I780" s="70" t="s">
        <v>92</v>
      </c>
      <c r="J780" s="65" t="s">
        <v>1472</v>
      </c>
      <c r="K780" s="68" t="str">
        <f>"00030744"</f>
        <v>00030744</v>
      </c>
    </row>
    <row r="781" spans="1:11" ht="45" customHeight="1">
      <c r="A781" s="32">
        <v>105</v>
      </c>
      <c r="B781" s="45" t="s">
        <v>1476</v>
      </c>
      <c r="C781" s="65" t="s">
        <v>38</v>
      </c>
      <c r="D781" s="66"/>
      <c r="E781" s="59">
        <v>80000</v>
      </c>
      <c r="F781" s="67">
        <v>4</v>
      </c>
      <c r="G781" s="69" t="s">
        <v>1477</v>
      </c>
      <c r="H781" s="32" t="s">
        <v>1478</v>
      </c>
      <c r="I781" s="70" t="s">
        <v>96</v>
      </c>
      <c r="J781" s="65" t="s">
        <v>1479</v>
      </c>
      <c r="K781" s="75" t="s">
        <v>3653</v>
      </c>
    </row>
    <row r="782" spans="1:11" ht="45" customHeight="1">
      <c r="A782" s="32">
        <v>105</v>
      </c>
      <c r="B782" s="45" t="s">
        <v>1482</v>
      </c>
      <c r="C782" s="65" t="s">
        <v>38</v>
      </c>
      <c r="D782" s="66"/>
      <c r="E782" s="59">
        <v>80000</v>
      </c>
      <c r="F782" s="67">
        <v>4</v>
      </c>
      <c r="G782" s="69" t="s">
        <v>3650</v>
      </c>
      <c r="H782" s="32" t="s">
        <v>1483</v>
      </c>
      <c r="I782" s="70" t="s">
        <v>264</v>
      </c>
      <c r="J782" s="65" t="s">
        <v>265</v>
      </c>
      <c r="K782" s="68" t="str">
        <f>"00031537"</f>
        <v>00031537</v>
      </c>
    </row>
    <row r="783" spans="1:11" ht="45" customHeight="1">
      <c r="A783" s="32">
        <v>105</v>
      </c>
      <c r="B783" s="45" t="s">
        <v>1504</v>
      </c>
      <c r="C783" s="65" t="s">
        <v>38</v>
      </c>
      <c r="D783" s="66"/>
      <c r="E783" s="59">
        <v>50000</v>
      </c>
      <c r="F783" s="67">
        <v>4</v>
      </c>
      <c r="G783" s="65" t="s">
        <v>1505</v>
      </c>
      <c r="H783" s="32" t="s">
        <v>1506</v>
      </c>
      <c r="I783" s="70" t="s">
        <v>92</v>
      </c>
      <c r="J783" s="65" t="s">
        <v>156</v>
      </c>
      <c r="K783" s="68" t="str">
        <f>"00029388"</f>
        <v>00029388</v>
      </c>
    </row>
    <row r="784" spans="1:11" ht="45" customHeight="1">
      <c r="A784" s="32">
        <v>105</v>
      </c>
      <c r="B784" s="45" t="s">
        <v>1489</v>
      </c>
      <c r="C784" s="65" t="s">
        <v>38</v>
      </c>
      <c r="D784" s="66"/>
      <c r="E784" s="59">
        <v>74283</v>
      </c>
      <c r="F784" s="67">
        <v>4</v>
      </c>
      <c r="G784" s="72" t="s">
        <v>1490</v>
      </c>
      <c r="H784" s="32" t="s">
        <v>1491</v>
      </c>
      <c r="I784" s="70" t="s">
        <v>116</v>
      </c>
      <c r="J784" s="65" t="s">
        <v>1492</v>
      </c>
      <c r="K784" s="68" t="str">
        <f>"00026226"</f>
        <v>00026226</v>
      </c>
    </row>
    <row r="785" spans="1:11" ht="45" customHeight="1">
      <c r="A785" s="32">
        <v>105</v>
      </c>
      <c r="B785" s="45" t="s">
        <v>1489</v>
      </c>
      <c r="C785" s="65" t="s">
        <v>38</v>
      </c>
      <c r="D785" s="66"/>
      <c r="E785" s="59">
        <v>88595</v>
      </c>
      <c r="F785" s="67">
        <v>4</v>
      </c>
      <c r="G785" s="69" t="s">
        <v>1495</v>
      </c>
      <c r="H785" s="32" t="s">
        <v>1497</v>
      </c>
      <c r="I785" s="70" t="s">
        <v>1498</v>
      </c>
      <c r="J785" s="69" t="s">
        <v>1499</v>
      </c>
      <c r="K785" s="68" t="str">
        <f>"00026284"</f>
        <v>00026284</v>
      </c>
    </row>
    <row r="786" spans="1:11" ht="45" customHeight="1">
      <c r="A786" s="32">
        <v>105</v>
      </c>
      <c r="B786" s="45" t="s">
        <v>1489</v>
      </c>
      <c r="C786" s="65" t="s">
        <v>38</v>
      </c>
      <c r="D786" s="66"/>
      <c r="E786" s="59">
        <v>72330</v>
      </c>
      <c r="F786" s="67">
        <v>4</v>
      </c>
      <c r="G786" s="69" t="s">
        <v>1494</v>
      </c>
      <c r="H786" s="32" t="s">
        <v>1496</v>
      </c>
      <c r="I786" s="70" t="s">
        <v>116</v>
      </c>
      <c r="J786" s="65" t="s">
        <v>117</v>
      </c>
      <c r="K786" s="68" t="str">
        <f>"00026283"</f>
        <v>00026283</v>
      </c>
    </row>
    <row r="787" spans="1:11" ht="45" customHeight="1">
      <c r="A787" s="32">
        <v>105</v>
      </c>
      <c r="B787" s="45" t="s">
        <v>1489</v>
      </c>
      <c r="C787" s="65" t="s">
        <v>38</v>
      </c>
      <c r="D787" s="66"/>
      <c r="E787" s="59">
        <v>78445</v>
      </c>
      <c r="F787" s="67">
        <v>4</v>
      </c>
      <c r="G787" s="69" t="s">
        <v>1495</v>
      </c>
      <c r="H787" s="32" t="s">
        <v>288</v>
      </c>
      <c r="I787" s="70" t="s">
        <v>116</v>
      </c>
      <c r="J787" s="65" t="s">
        <v>117</v>
      </c>
      <c r="K787" s="68" t="str">
        <f>"00026286"</f>
        <v>00026286</v>
      </c>
    </row>
    <row r="788" spans="1:11" ht="45" customHeight="1">
      <c r="A788" s="32">
        <v>105</v>
      </c>
      <c r="B788" s="45" t="s">
        <v>1500</v>
      </c>
      <c r="C788" s="65" t="s">
        <v>38</v>
      </c>
      <c r="D788" s="66"/>
      <c r="E788" s="59">
        <v>70000</v>
      </c>
      <c r="F788" s="67">
        <v>4</v>
      </c>
      <c r="G788" s="69" t="s">
        <v>1501</v>
      </c>
      <c r="H788" s="32" t="s">
        <v>1502</v>
      </c>
      <c r="I788" s="70" t="s">
        <v>104</v>
      </c>
      <c r="J788" s="65" t="s">
        <v>1503</v>
      </c>
      <c r="K788" s="68" t="str">
        <f>"00031098"</f>
        <v>00031098</v>
      </c>
    </row>
    <row r="789" spans="1:11" ht="45" customHeight="1">
      <c r="A789" s="32">
        <v>105</v>
      </c>
      <c r="B789" s="45" t="s">
        <v>1489</v>
      </c>
      <c r="C789" s="65" t="s">
        <v>38</v>
      </c>
      <c r="D789" s="66"/>
      <c r="E789" s="59">
        <v>76812</v>
      </c>
      <c r="F789" s="67">
        <v>4</v>
      </c>
      <c r="G789" s="69" t="s">
        <v>3649</v>
      </c>
      <c r="H789" s="32" t="s">
        <v>1491</v>
      </c>
      <c r="I789" s="70" t="s">
        <v>116</v>
      </c>
      <c r="J789" s="69" t="s">
        <v>1493</v>
      </c>
      <c r="K789" s="68" t="str">
        <f>"00026220"</f>
        <v>00026220</v>
      </c>
    </row>
    <row r="790" spans="1:11" ht="45" customHeight="1">
      <c r="A790" s="32">
        <v>105</v>
      </c>
      <c r="B790" s="45" t="s">
        <v>1489</v>
      </c>
      <c r="C790" s="65" t="s">
        <v>38</v>
      </c>
      <c r="D790" s="66"/>
      <c r="E790" s="59">
        <v>76812</v>
      </c>
      <c r="F790" s="67">
        <v>4</v>
      </c>
      <c r="G790" s="69" t="s">
        <v>1494</v>
      </c>
      <c r="H790" s="32" t="s">
        <v>246</v>
      </c>
      <c r="I790" s="70" t="s">
        <v>116</v>
      </c>
      <c r="J790" s="65" t="s">
        <v>117</v>
      </c>
      <c r="K790" s="68" t="str">
        <f>"00026212"</f>
        <v>00026212</v>
      </c>
    </row>
    <row r="791" spans="1:11" ht="45" customHeight="1">
      <c r="A791" s="30"/>
      <c r="B791" s="58" t="s">
        <v>375</v>
      </c>
      <c r="C791" s="45"/>
      <c r="D791" s="46"/>
      <c r="E791" s="47">
        <f>SUM(E774:E790)</f>
        <v>1396206</v>
      </c>
      <c r="F791" s="48"/>
      <c r="G791" s="45"/>
      <c r="H791" s="30"/>
      <c r="I791" s="45"/>
      <c r="J791" s="45"/>
      <c r="K791" s="50"/>
    </row>
    <row r="792" spans="1:11" ht="45" customHeight="1">
      <c r="A792" s="30"/>
      <c r="B792" s="60" t="s">
        <v>389</v>
      </c>
      <c r="C792" s="45"/>
      <c r="D792" s="46"/>
      <c r="E792" s="47"/>
      <c r="F792" s="48"/>
      <c r="G792" s="49"/>
      <c r="H792" s="30"/>
      <c r="I792" s="45"/>
      <c r="J792" s="45"/>
      <c r="K792" s="50"/>
    </row>
    <row r="793" spans="1:11" ht="45" customHeight="1">
      <c r="A793" s="32">
        <v>105</v>
      </c>
      <c r="B793" s="45" t="s">
        <v>388</v>
      </c>
      <c r="C793" s="65" t="s">
        <v>38</v>
      </c>
      <c r="D793" s="66"/>
      <c r="E793" s="59">
        <v>106036</v>
      </c>
      <c r="F793" s="67">
        <v>4</v>
      </c>
      <c r="G793" s="65" t="s">
        <v>3694</v>
      </c>
      <c r="H793" s="32" t="s">
        <v>1516</v>
      </c>
      <c r="I793" s="65" t="s">
        <v>533</v>
      </c>
      <c r="J793" s="65" t="s">
        <v>1511</v>
      </c>
      <c r="K793" s="73" t="s">
        <v>6098</v>
      </c>
    </row>
    <row r="794" spans="1:11" ht="45" customHeight="1">
      <c r="A794" s="32">
        <v>105</v>
      </c>
      <c r="B794" s="45" t="s">
        <v>382</v>
      </c>
      <c r="C794" s="65" t="s">
        <v>38</v>
      </c>
      <c r="D794" s="66"/>
      <c r="E794" s="59">
        <v>104612</v>
      </c>
      <c r="F794" s="67">
        <v>4</v>
      </c>
      <c r="G794" s="65" t="s">
        <v>3695</v>
      </c>
      <c r="H794" s="32" t="s">
        <v>1516</v>
      </c>
      <c r="I794" s="65" t="s">
        <v>533</v>
      </c>
      <c r="J794" s="65" t="s">
        <v>1511</v>
      </c>
      <c r="K794" s="73" t="s">
        <v>6099</v>
      </c>
    </row>
    <row r="795" spans="1:11" ht="45" customHeight="1">
      <c r="A795" s="32">
        <v>105</v>
      </c>
      <c r="B795" s="45" t="s">
        <v>384</v>
      </c>
      <c r="C795" s="65" t="s">
        <v>38</v>
      </c>
      <c r="D795" s="66"/>
      <c r="E795" s="59">
        <v>99945</v>
      </c>
      <c r="F795" s="67">
        <v>4</v>
      </c>
      <c r="G795" s="65" t="s">
        <v>3696</v>
      </c>
      <c r="H795" s="32" t="s">
        <v>1517</v>
      </c>
      <c r="I795" s="65" t="s">
        <v>533</v>
      </c>
      <c r="J795" s="65" t="s">
        <v>1511</v>
      </c>
      <c r="K795" s="73" t="s">
        <v>6100</v>
      </c>
    </row>
    <row r="796" spans="1:11" ht="45" customHeight="1">
      <c r="A796" s="32">
        <v>105</v>
      </c>
      <c r="B796" s="45" t="s">
        <v>386</v>
      </c>
      <c r="C796" s="65" t="s">
        <v>38</v>
      </c>
      <c r="D796" s="66"/>
      <c r="E796" s="59">
        <v>186573</v>
      </c>
      <c r="F796" s="67">
        <v>4</v>
      </c>
      <c r="G796" s="74" t="s">
        <v>3697</v>
      </c>
      <c r="H796" s="32" t="s">
        <v>1513</v>
      </c>
      <c r="I796" s="65" t="s">
        <v>107</v>
      </c>
      <c r="J796" s="65" t="s">
        <v>1514</v>
      </c>
      <c r="K796" s="73" t="s">
        <v>6101</v>
      </c>
    </row>
    <row r="797" spans="1:11" ht="45" customHeight="1">
      <c r="A797" s="32">
        <v>105</v>
      </c>
      <c r="B797" s="45" t="s">
        <v>385</v>
      </c>
      <c r="C797" s="65" t="s">
        <v>38</v>
      </c>
      <c r="D797" s="66"/>
      <c r="E797" s="59">
        <v>30316</v>
      </c>
      <c r="F797" s="67">
        <v>4</v>
      </c>
      <c r="G797" s="65" t="s">
        <v>3698</v>
      </c>
      <c r="H797" s="32" t="s">
        <v>1510</v>
      </c>
      <c r="I797" s="65" t="s">
        <v>533</v>
      </c>
      <c r="J797" s="65" t="s">
        <v>1511</v>
      </c>
      <c r="K797" s="68" t="str">
        <f>"00028444"</f>
        <v>00028444</v>
      </c>
    </row>
    <row r="798" spans="1:11" ht="45" customHeight="1">
      <c r="A798" s="32">
        <v>105</v>
      </c>
      <c r="B798" s="45" t="s">
        <v>388</v>
      </c>
      <c r="C798" s="65" t="s">
        <v>38</v>
      </c>
      <c r="D798" s="66"/>
      <c r="E798" s="59">
        <v>62979</v>
      </c>
      <c r="F798" s="67">
        <v>4</v>
      </c>
      <c r="G798" s="65" t="s">
        <v>3699</v>
      </c>
      <c r="H798" s="32" t="s">
        <v>1515</v>
      </c>
      <c r="I798" s="65" t="s">
        <v>92</v>
      </c>
      <c r="J798" s="65" t="s">
        <v>110</v>
      </c>
      <c r="K798" s="73" t="s">
        <v>6102</v>
      </c>
    </row>
    <row r="799" spans="1:11" ht="45" customHeight="1">
      <c r="A799" s="32">
        <v>105</v>
      </c>
      <c r="B799" s="51" t="s">
        <v>379</v>
      </c>
      <c r="C799" s="65" t="s">
        <v>38</v>
      </c>
      <c r="D799" s="66"/>
      <c r="E799" s="59">
        <v>105667</v>
      </c>
      <c r="F799" s="67">
        <v>4</v>
      </c>
      <c r="G799" s="65" t="s">
        <v>3700</v>
      </c>
      <c r="H799" s="32" t="s">
        <v>1512</v>
      </c>
      <c r="I799" s="65" t="s">
        <v>107</v>
      </c>
      <c r="J799" s="65" t="s">
        <v>263</v>
      </c>
      <c r="K799" s="73" t="s">
        <v>6103</v>
      </c>
    </row>
    <row r="800" spans="1:11" ht="45" customHeight="1">
      <c r="A800" s="32">
        <v>105</v>
      </c>
      <c r="B800" s="45" t="s">
        <v>384</v>
      </c>
      <c r="C800" s="65" t="s">
        <v>38</v>
      </c>
      <c r="D800" s="66"/>
      <c r="E800" s="59">
        <v>21107</v>
      </c>
      <c r="F800" s="67">
        <v>4</v>
      </c>
      <c r="G800" s="65" t="s">
        <v>3701</v>
      </c>
      <c r="H800" s="32" t="s">
        <v>1525</v>
      </c>
      <c r="I800" s="65" t="s">
        <v>96</v>
      </c>
      <c r="J800" s="65" t="s">
        <v>97</v>
      </c>
      <c r="K800" s="68" t="str">
        <f>"00032980"</f>
        <v>00032980</v>
      </c>
    </row>
    <row r="801" spans="1:11" ht="45" customHeight="1">
      <c r="A801" s="32">
        <v>105</v>
      </c>
      <c r="B801" s="45" t="s">
        <v>380</v>
      </c>
      <c r="C801" s="65" t="s">
        <v>38</v>
      </c>
      <c r="D801" s="66"/>
      <c r="E801" s="59">
        <v>83626</v>
      </c>
      <c r="F801" s="67">
        <v>4</v>
      </c>
      <c r="G801" s="69" t="s">
        <v>3702</v>
      </c>
      <c r="H801" s="32" t="s">
        <v>1508</v>
      </c>
      <c r="I801" s="65" t="s">
        <v>92</v>
      </c>
      <c r="J801" s="71" t="s">
        <v>1509</v>
      </c>
      <c r="K801" s="78" t="s">
        <v>3708</v>
      </c>
    </row>
    <row r="802" spans="1:11" ht="45" customHeight="1">
      <c r="A802" s="32">
        <v>105</v>
      </c>
      <c r="B802" s="45" t="s">
        <v>383</v>
      </c>
      <c r="C802" s="65" t="s">
        <v>38</v>
      </c>
      <c r="D802" s="66"/>
      <c r="E802" s="59">
        <v>15538</v>
      </c>
      <c r="F802" s="67">
        <v>4</v>
      </c>
      <c r="G802" s="72" t="s">
        <v>3703</v>
      </c>
      <c r="H802" s="32" t="s">
        <v>1507</v>
      </c>
      <c r="I802" s="65" t="s">
        <v>92</v>
      </c>
      <c r="J802" s="65" t="s">
        <v>1259</v>
      </c>
      <c r="K802" s="75" t="s">
        <v>3709</v>
      </c>
    </row>
    <row r="803" spans="1:11" ht="45" customHeight="1">
      <c r="A803" s="32">
        <v>105</v>
      </c>
      <c r="B803" s="45" t="s">
        <v>383</v>
      </c>
      <c r="C803" s="65" t="s">
        <v>38</v>
      </c>
      <c r="D803" s="66"/>
      <c r="E803" s="59">
        <v>37324</v>
      </c>
      <c r="F803" s="67">
        <v>4</v>
      </c>
      <c r="G803" s="65" t="s">
        <v>3704</v>
      </c>
      <c r="H803" s="32" t="s">
        <v>1518</v>
      </c>
      <c r="I803" s="65" t="s">
        <v>107</v>
      </c>
      <c r="J803" s="65" t="s">
        <v>277</v>
      </c>
      <c r="K803" s="75" t="s">
        <v>3731</v>
      </c>
    </row>
    <row r="804" spans="1:11" ht="45" customHeight="1">
      <c r="A804" s="32">
        <v>105</v>
      </c>
      <c r="B804" s="45" t="s">
        <v>1519</v>
      </c>
      <c r="C804" s="65" t="s">
        <v>38</v>
      </c>
      <c r="D804" s="66"/>
      <c r="E804" s="59">
        <v>49070</v>
      </c>
      <c r="F804" s="67">
        <v>4</v>
      </c>
      <c r="G804" s="65" t="s">
        <v>3705</v>
      </c>
      <c r="H804" s="32" t="s">
        <v>1520</v>
      </c>
      <c r="I804" s="65" t="s">
        <v>92</v>
      </c>
      <c r="J804" s="65" t="s">
        <v>106</v>
      </c>
      <c r="K804" s="73" t="s">
        <v>6104</v>
      </c>
    </row>
    <row r="805" spans="1:11" ht="45" customHeight="1">
      <c r="A805" s="32">
        <v>105</v>
      </c>
      <c r="B805" s="51" t="s">
        <v>1521</v>
      </c>
      <c r="C805" s="65" t="s">
        <v>38</v>
      </c>
      <c r="D805" s="66"/>
      <c r="E805" s="59">
        <v>15000</v>
      </c>
      <c r="F805" s="67">
        <v>4</v>
      </c>
      <c r="G805" s="65" t="s">
        <v>3706</v>
      </c>
      <c r="H805" s="32" t="s">
        <v>1522</v>
      </c>
      <c r="I805" s="65" t="s">
        <v>107</v>
      </c>
      <c r="J805" s="72" t="s">
        <v>1523</v>
      </c>
      <c r="K805" s="68" t="str">
        <f>"00030502"</f>
        <v>00030502</v>
      </c>
    </row>
    <row r="806" spans="1:11" ht="45" customHeight="1">
      <c r="A806" s="32">
        <v>105</v>
      </c>
      <c r="B806" s="45" t="s">
        <v>383</v>
      </c>
      <c r="C806" s="65" t="s">
        <v>38</v>
      </c>
      <c r="D806" s="66"/>
      <c r="E806" s="59">
        <v>28053</v>
      </c>
      <c r="F806" s="67">
        <v>4</v>
      </c>
      <c r="G806" s="69" t="s">
        <v>3707</v>
      </c>
      <c r="H806" s="32" t="s">
        <v>1524</v>
      </c>
      <c r="I806" s="65" t="s">
        <v>107</v>
      </c>
      <c r="J806" s="65" t="s">
        <v>277</v>
      </c>
      <c r="K806" s="73" t="s">
        <v>6105</v>
      </c>
    </row>
    <row r="807" spans="1:11" ht="45" customHeight="1">
      <c r="A807" s="30"/>
      <c r="B807" s="58" t="s">
        <v>390</v>
      </c>
      <c r="C807" s="45"/>
      <c r="D807" s="46"/>
      <c r="E807" s="47">
        <f>SUM(E793:E806)</f>
        <v>945846</v>
      </c>
      <c r="F807" s="48"/>
      <c r="G807" s="45"/>
      <c r="H807" s="30"/>
      <c r="I807" s="45"/>
      <c r="J807" s="45"/>
      <c r="K807" s="50"/>
    </row>
    <row r="808" spans="1:11" ht="45" customHeight="1">
      <c r="A808" s="30"/>
      <c r="B808" s="60" t="s">
        <v>397</v>
      </c>
      <c r="C808" s="45"/>
      <c r="D808" s="46"/>
      <c r="E808" s="47"/>
      <c r="F808" s="48"/>
      <c r="G808" s="45"/>
      <c r="H808" s="30"/>
      <c r="I808" s="45"/>
      <c r="J808" s="45"/>
      <c r="K808" s="50"/>
    </row>
    <row r="809" spans="1:11" ht="45" customHeight="1">
      <c r="A809" s="32">
        <v>105</v>
      </c>
      <c r="B809" s="45" t="s">
        <v>1529</v>
      </c>
      <c r="C809" s="65" t="s">
        <v>88</v>
      </c>
      <c r="D809" s="66"/>
      <c r="E809" s="59">
        <v>74112</v>
      </c>
      <c r="F809" s="67">
        <v>4</v>
      </c>
      <c r="G809" s="69" t="s">
        <v>3842</v>
      </c>
      <c r="H809" s="32" t="s">
        <v>3843</v>
      </c>
      <c r="I809" s="65" t="s">
        <v>107</v>
      </c>
      <c r="J809" s="65" t="s">
        <v>604</v>
      </c>
      <c r="K809" s="68" t="str">
        <f>"00027696"</f>
        <v>00027696</v>
      </c>
    </row>
    <row r="810" spans="1:11" ht="45" customHeight="1">
      <c r="A810" s="32">
        <v>105</v>
      </c>
      <c r="B810" s="45" t="s">
        <v>1526</v>
      </c>
      <c r="C810" s="65" t="s">
        <v>88</v>
      </c>
      <c r="D810" s="66"/>
      <c r="E810" s="59">
        <v>92381</v>
      </c>
      <c r="F810" s="67">
        <v>4</v>
      </c>
      <c r="G810" s="79" t="s">
        <v>6106</v>
      </c>
      <c r="H810" s="32" t="s">
        <v>3844</v>
      </c>
      <c r="I810" s="65" t="s">
        <v>107</v>
      </c>
      <c r="J810" s="65" t="s">
        <v>3845</v>
      </c>
      <c r="K810" s="68" t="str">
        <f>"00027014"</f>
        <v>00027014</v>
      </c>
    </row>
    <row r="811" spans="1:11" ht="45" customHeight="1">
      <c r="A811" s="32">
        <v>105</v>
      </c>
      <c r="B811" s="45" t="s">
        <v>1527</v>
      </c>
      <c r="C811" s="65" t="s">
        <v>88</v>
      </c>
      <c r="D811" s="66"/>
      <c r="E811" s="59">
        <v>60026</v>
      </c>
      <c r="F811" s="67">
        <v>4</v>
      </c>
      <c r="G811" s="65" t="s">
        <v>3846</v>
      </c>
      <c r="H811" s="32" t="s">
        <v>3847</v>
      </c>
      <c r="I811" s="65" t="s">
        <v>92</v>
      </c>
      <c r="J811" s="65" t="s">
        <v>401</v>
      </c>
      <c r="K811" s="73" t="s">
        <v>6109</v>
      </c>
    </row>
    <row r="812" spans="1:11" ht="45" customHeight="1">
      <c r="A812" s="32">
        <v>105</v>
      </c>
      <c r="B812" s="45" t="s">
        <v>1526</v>
      </c>
      <c r="C812" s="65" t="s">
        <v>88</v>
      </c>
      <c r="D812" s="66"/>
      <c r="E812" s="59">
        <v>98966</v>
      </c>
      <c r="F812" s="67">
        <v>4</v>
      </c>
      <c r="G812" s="72" t="s">
        <v>6107</v>
      </c>
      <c r="H812" s="32" t="s">
        <v>3848</v>
      </c>
      <c r="I812" s="65" t="s">
        <v>107</v>
      </c>
      <c r="J812" s="65" t="s">
        <v>3849</v>
      </c>
      <c r="K812" s="73" t="s">
        <v>6110</v>
      </c>
    </row>
    <row r="813" spans="1:11" ht="45" customHeight="1">
      <c r="A813" s="32">
        <v>105</v>
      </c>
      <c r="B813" s="45" t="s">
        <v>1530</v>
      </c>
      <c r="C813" s="65" t="s">
        <v>88</v>
      </c>
      <c r="D813" s="66"/>
      <c r="E813" s="59">
        <v>74394</v>
      </c>
      <c r="F813" s="67">
        <v>4</v>
      </c>
      <c r="G813" s="72" t="s">
        <v>6108</v>
      </c>
      <c r="H813" s="32" t="s">
        <v>3850</v>
      </c>
      <c r="I813" s="65" t="s">
        <v>107</v>
      </c>
      <c r="J813" s="79" t="s">
        <v>3851</v>
      </c>
      <c r="K813" s="68" t="str">
        <f>"00027842"</f>
        <v>00027842</v>
      </c>
    </row>
    <row r="814" spans="1:11" ht="45" customHeight="1">
      <c r="A814" s="30"/>
      <c r="B814" s="58" t="s">
        <v>402</v>
      </c>
      <c r="C814" s="45"/>
      <c r="D814" s="46"/>
      <c r="E814" s="47">
        <f>SUM(E809:E813)</f>
        <v>399879</v>
      </c>
      <c r="F814" s="48"/>
      <c r="G814" s="45"/>
      <c r="H814" s="30"/>
      <c r="I814" s="45"/>
      <c r="J814" s="45"/>
      <c r="K814" s="50"/>
    </row>
    <row r="815" spans="1:11" ht="45" customHeight="1">
      <c r="A815" s="30"/>
      <c r="B815" s="60" t="s">
        <v>415</v>
      </c>
      <c r="C815" s="45"/>
      <c r="D815" s="46"/>
      <c r="E815" s="47"/>
      <c r="F815" s="48"/>
      <c r="G815" s="45"/>
      <c r="H815" s="30"/>
      <c r="I815" s="45"/>
      <c r="J815" s="45"/>
      <c r="K815" s="50"/>
    </row>
    <row r="816" spans="1:11" ht="45" customHeight="1">
      <c r="A816" s="32">
        <v>105</v>
      </c>
      <c r="B816" s="45" t="s">
        <v>414</v>
      </c>
      <c r="C816" s="65" t="s">
        <v>88</v>
      </c>
      <c r="D816" s="66"/>
      <c r="E816" s="59">
        <v>112836</v>
      </c>
      <c r="F816" s="67">
        <v>4</v>
      </c>
      <c r="G816" s="69" t="s">
        <v>3898</v>
      </c>
      <c r="H816" s="32" t="s">
        <v>3899</v>
      </c>
      <c r="I816" s="65" t="s">
        <v>107</v>
      </c>
      <c r="J816" s="65" t="s">
        <v>544</v>
      </c>
      <c r="K816" s="73" t="s">
        <v>6111</v>
      </c>
    </row>
    <row r="817" spans="1:11" ht="45" customHeight="1">
      <c r="A817" s="32">
        <v>105</v>
      </c>
      <c r="B817" s="45" t="s">
        <v>11</v>
      </c>
      <c r="C817" s="65" t="s">
        <v>88</v>
      </c>
      <c r="D817" s="66"/>
      <c r="E817" s="59">
        <v>51118</v>
      </c>
      <c r="F817" s="67">
        <v>4</v>
      </c>
      <c r="G817" s="69" t="s">
        <v>3900</v>
      </c>
      <c r="H817" s="32" t="s">
        <v>3901</v>
      </c>
      <c r="I817" s="65" t="s">
        <v>107</v>
      </c>
      <c r="J817" s="70" t="s">
        <v>3933</v>
      </c>
      <c r="K817" s="68" t="s">
        <v>3885</v>
      </c>
    </row>
    <row r="818" spans="1:11" ht="45" customHeight="1">
      <c r="A818" s="32">
        <v>105</v>
      </c>
      <c r="B818" s="45" t="s">
        <v>1533</v>
      </c>
      <c r="C818" s="65" t="s">
        <v>88</v>
      </c>
      <c r="D818" s="66"/>
      <c r="E818" s="59">
        <v>115590</v>
      </c>
      <c r="F818" s="67">
        <v>4</v>
      </c>
      <c r="G818" s="69" t="s">
        <v>3900</v>
      </c>
      <c r="H818" s="32" t="s">
        <v>3901</v>
      </c>
      <c r="I818" s="65" t="s">
        <v>107</v>
      </c>
      <c r="J818" s="70" t="s">
        <v>3933</v>
      </c>
      <c r="K818" s="75" t="s">
        <v>3932</v>
      </c>
    </row>
    <row r="819" spans="1:11" ht="45" customHeight="1">
      <c r="A819" s="32">
        <v>105</v>
      </c>
      <c r="B819" s="45" t="s">
        <v>1532</v>
      </c>
      <c r="C819" s="65" t="s">
        <v>88</v>
      </c>
      <c r="D819" s="66"/>
      <c r="E819" s="59">
        <v>83525</v>
      </c>
      <c r="F819" s="67">
        <v>4</v>
      </c>
      <c r="G819" s="71" t="s">
        <v>6112</v>
      </c>
      <c r="H819" s="32" t="s">
        <v>3902</v>
      </c>
      <c r="I819" s="65" t="s">
        <v>180</v>
      </c>
      <c r="J819" s="65" t="s">
        <v>3934</v>
      </c>
      <c r="K819" s="68" t="s">
        <v>3886</v>
      </c>
    </row>
    <row r="820" spans="1:11" ht="45" customHeight="1">
      <c r="A820" s="32">
        <v>105</v>
      </c>
      <c r="B820" s="45" t="s">
        <v>1531</v>
      </c>
      <c r="C820" s="65" t="s">
        <v>88</v>
      </c>
      <c r="D820" s="66"/>
      <c r="E820" s="59">
        <v>74404</v>
      </c>
      <c r="F820" s="67">
        <v>4</v>
      </c>
      <c r="G820" s="72" t="s">
        <v>3937</v>
      </c>
      <c r="H820" s="32" t="s">
        <v>3903</v>
      </c>
      <c r="I820" s="65" t="s">
        <v>107</v>
      </c>
      <c r="J820" s="65" t="s">
        <v>544</v>
      </c>
      <c r="K820" s="68" t="s">
        <v>3887</v>
      </c>
    </row>
    <row r="821" spans="1:11" ht="45" customHeight="1">
      <c r="A821" s="32">
        <v>105</v>
      </c>
      <c r="B821" s="45" t="s">
        <v>6113</v>
      </c>
      <c r="C821" s="65" t="s">
        <v>88</v>
      </c>
      <c r="D821" s="66"/>
      <c r="E821" s="59">
        <v>105000</v>
      </c>
      <c r="F821" s="67">
        <v>4</v>
      </c>
      <c r="G821" s="69" t="s">
        <v>3904</v>
      </c>
      <c r="H821" s="32" t="s">
        <v>3905</v>
      </c>
      <c r="I821" s="65" t="s">
        <v>107</v>
      </c>
      <c r="J821" s="65" t="s">
        <v>485</v>
      </c>
      <c r="K821" s="68" t="s">
        <v>3888</v>
      </c>
    </row>
    <row r="822" spans="1:11" ht="45" customHeight="1">
      <c r="A822" s="32">
        <v>105</v>
      </c>
      <c r="B822" s="45" t="s">
        <v>427</v>
      </c>
      <c r="C822" s="65" t="s">
        <v>88</v>
      </c>
      <c r="D822" s="66"/>
      <c r="E822" s="59">
        <v>106815</v>
      </c>
      <c r="F822" s="67">
        <v>4</v>
      </c>
      <c r="G822" s="69" t="s">
        <v>3906</v>
      </c>
      <c r="H822" s="32" t="s">
        <v>3899</v>
      </c>
      <c r="I822" s="65" t="s">
        <v>107</v>
      </c>
      <c r="J822" s="65" t="s">
        <v>544</v>
      </c>
      <c r="K822" s="68" t="s">
        <v>3889</v>
      </c>
    </row>
    <row r="823" spans="1:11" ht="45" customHeight="1">
      <c r="A823" s="32">
        <v>105</v>
      </c>
      <c r="B823" s="45" t="s">
        <v>413</v>
      </c>
      <c r="C823" s="65" t="s">
        <v>88</v>
      </c>
      <c r="D823" s="66"/>
      <c r="E823" s="59">
        <v>109596</v>
      </c>
      <c r="F823" s="67">
        <v>4</v>
      </c>
      <c r="G823" s="65" t="s">
        <v>3907</v>
      </c>
      <c r="H823" s="32" t="s">
        <v>3908</v>
      </c>
      <c r="I823" s="65" t="s">
        <v>98</v>
      </c>
      <c r="J823" s="65" t="s">
        <v>3935</v>
      </c>
      <c r="K823" s="68" t="s">
        <v>3890</v>
      </c>
    </row>
    <row r="824" spans="1:11" ht="45" customHeight="1">
      <c r="A824" s="32">
        <v>105</v>
      </c>
      <c r="B824" s="45" t="s">
        <v>1535</v>
      </c>
      <c r="C824" s="65" t="s">
        <v>88</v>
      </c>
      <c r="D824" s="66"/>
      <c r="E824" s="59">
        <v>83317</v>
      </c>
      <c r="F824" s="67">
        <v>4</v>
      </c>
      <c r="G824" s="69" t="s">
        <v>3909</v>
      </c>
      <c r="H824" s="32" t="s">
        <v>3910</v>
      </c>
      <c r="I824" s="65" t="s">
        <v>92</v>
      </c>
      <c r="J824" s="65" t="s">
        <v>401</v>
      </c>
      <c r="K824" s="73" t="s">
        <v>6114</v>
      </c>
    </row>
    <row r="825" spans="1:11" ht="45" customHeight="1">
      <c r="A825" s="32">
        <v>105</v>
      </c>
      <c r="B825" s="45" t="s">
        <v>1537</v>
      </c>
      <c r="C825" s="65" t="s">
        <v>88</v>
      </c>
      <c r="D825" s="66"/>
      <c r="E825" s="59">
        <v>172773</v>
      </c>
      <c r="F825" s="67">
        <v>4</v>
      </c>
      <c r="G825" s="65" t="s">
        <v>3911</v>
      </c>
      <c r="H825" s="32" t="s">
        <v>3912</v>
      </c>
      <c r="I825" s="65" t="s">
        <v>1540</v>
      </c>
      <c r="J825" s="69" t="s">
        <v>3936</v>
      </c>
      <c r="K825" s="68" t="s">
        <v>3891</v>
      </c>
    </row>
    <row r="826" spans="1:11" ht="45" customHeight="1">
      <c r="A826" s="32">
        <v>105</v>
      </c>
      <c r="B826" s="45" t="s">
        <v>1538</v>
      </c>
      <c r="C826" s="65" t="s">
        <v>88</v>
      </c>
      <c r="D826" s="66"/>
      <c r="E826" s="59">
        <v>70845</v>
      </c>
      <c r="F826" s="67">
        <v>4</v>
      </c>
      <c r="G826" s="65" t="s">
        <v>3913</v>
      </c>
      <c r="H826" s="32" t="s">
        <v>3914</v>
      </c>
      <c r="I826" s="65" t="s">
        <v>92</v>
      </c>
      <c r="J826" s="65" t="s">
        <v>401</v>
      </c>
      <c r="K826" s="68" t="s">
        <v>3892</v>
      </c>
    </row>
    <row r="827" spans="1:11" ht="45" customHeight="1">
      <c r="A827" s="32">
        <v>105</v>
      </c>
      <c r="B827" s="45" t="s">
        <v>410</v>
      </c>
      <c r="C827" s="65" t="s">
        <v>88</v>
      </c>
      <c r="D827" s="66"/>
      <c r="E827" s="59">
        <v>55725</v>
      </c>
      <c r="F827" s="67">
        <v>4</v>
      </c>
      <c r="G827" s="69" t="s">
        <v>3915</v>
      </c>
      <c r="H827" s="32" t="s">
        <v>3916</v>
      </c>
      <c r="I827" s="65" t="s">
        <v>92</v>
      </c>
      <c r="J827" s="65" t="s">
        <v>401</v>
      </c>
      <c r="K827" s="68" t="s">
        <v>3893</v>
      </c>
    </row>
    <row r="828" spans="1:11" ht="45" customHeight="1">
      <c r="A828" s="32">
        <v>105</v>
      </c>
      <c r="B828" s="45" t="s">
        <v>1532</v>
      </c>
      <c r="C828" s="65" t="s">
        <v>88</v>
      </c>
      <c r="D828" s="66"/>
      <c r="E828" s="59">
        <v>78278</v>
      </c>
      <c r="F828" s="67">
        <v>4</v>
      </c>
      <c r="G828" s="70" t="s">
        <v>3917</v>
      </c>
      <c r="H828" s="32" t="s">
        <v>3918</v>
      </c>
      <c r="I828" s="65" t="s">
        <v>92</v>
      </c>
      <c r="J828" s="65" t="s">
        <v>401</v>
      </c>
      <c r="K828" s="68" t="s">
        <v>3894</v>
      </c>
    </row>
    <row r="829" spans="1:11" ht="45" customHeight="1">
      <c r="A829" s="32">
        <v>105</v>
      </c>
      <c r="B829" s="45" t="s">
        <v>1534</v>
      </c>
      <c r="C829" s="65" t="s">
        <v>88</v>
      </c>
      <c r="D829" s="66"/>
      <c r="E829" s="59">
        <v>95699</v>
      </c>
      <c r="F829" s="67">
        <v>4</v>
      </c>
      <c r="G829" s="65" t="s">
        <v>3919</v>
      </c>
      <c r="H829" s="32" t="s">
        <v>3920</v>
      </c>
      <c r="I829" s="65" t="s">
        <v>150</v>
      </c>
      <c r="J829" s="65" t="s">
        <v>523</v>
      </c>
      <c r="K829" s="68" t="s">
        <v>3895</v>
      </c>
    </row>
    <row r="830" spans="1:11" ht="45" customHeight="1">
      <c r="A830" s="32">
        <v>105</v>
      </c>
      <c r="B830" s="45" t="s">
        <v>1537</v>
      </c>
      <c r="C830" s="65" t="s">
        <v>88</v>
      </c>
      <c r="D830" s="66"/>
      <c r="E830" s="59">
        <v>17000</v>
      </c>
      <c r="F830" s="67">
        <v>4</v>
      </c>
      <c r="G830" s="65" t="s">
        <v>3921</v>
      </c>
      <c r="H830" s="32" t="s">
        <v>3922</v>
      </c>
      <c r="I830" s="65" t="s">
        <v>92</v>
      </c>
      <c r="J830" s="65" t="s">
        <v>401</v>
      </c>
      <c r="K830" s="68" t="s">
        <v>3896</v>
      </c>
    </row>
    <row r="831" spans="1:11" ht="45" customHeight="1">
      <c r="A831" s="32">
        <v>105</v>
      </c>
      <c r="B831" s="45" t="s">
        <v>412</v>
      </c>
      <c r="C831" s="65" t="s">
        <v>88</v>
      </c>
      <c r="D831" s="66"/>
      <c r="E831" s="59">
        <v>95789</v>
      </c>
      <c r="F831" s="67">
        <v>4</v>
      </c>
      <c r="G831" s="65" t="s">
        <v>3923</v>
      </c>
      <c r="H831" s="32" t="s">
        <v>3924</v>
      </c>
      <c r="I831" s="65" t="s">
        <v>107</v>
      </c>
      <c r="J831" s="65" t="s">
        <v>399</v>
      </c>
      <c r="K831" s="68" t="s">
        <v>3897</v>
      </c>
    </row>
    <row r="832" spans="1:11" ht="45" customHeight="1">
      <c r="A832" s="32">
        <v>105</v>
      </c>
      <c r="B832" s="45" t="s">
        <v>1533</v>
      </c>
      <c r="C832" s="65" t="s">
        <v>88</v>
      </c>
      <c r="D832" s="66"/>
      <c r="E832" s="59">
        <v>91753</v>
      </c>
      <c r="F832" s="67">
        <v>4</v>
      </c>
      <c r="G832" s="65" t="s">
        <v>3925</v>
      </c>
      <c r="H832" s="32" t="s">
        <v>3926</v>
      </c>
      <c r="I832" s="65" t="s">
        <v>154</v>
      </c>
      <c r="J832" s="65" t="s">
        <v>541</v>
      </c>
      <c r="K832" s="73" t="s">
        <v>6115</v>
      </c>
    </row>
    <row r="833" spans="1:11" ht="45" customHeight="1">
      <c r="A833" s="32">
        <v>105</v>
      </c>
      <c r="B833" s="45" t="s">
        <v>1533</v>
      </c>
      <c r="C833" s="65" t="s">
        <v>88</v>
      </c>
      <c r="D833" s="66"/>
      <c r="E833" s="59">
        <v>68054</v>
      </c>
      <c r="F833" s="67">
        <v>4</v>
      </c>
      <c r="G833" s="65" t="s">
        <v>3927</v>
      </c>
      <c r="H833" s="32" t="s">
        <v>3928</v>
      </c>
      <c r="I833" s="65" t="s">
        <v>152</v>
      </c>
      <c r="J833" s="70" t="s">
        <v>3929</v>
      </c>
      <c r="K833" s="73" t="s">
        <v>6116</v>
      </c>
    </row>
    <row r="834" spans="1:11" ht="45" customHeight="1">
      <c r="A834" s="32">
        <v>105</v>
      </c>
      <c r="B834" s="45" t="s">
        <v>1541</v>
      </c>
      <c r="C834" s="65" t="s">
        <v>88</v>
      </c>
      <c r="D834" s="66"/>
      <c r="E834" s="59">
        <v>58979</v>
      </c>
      <c r="F834" s="67">
        <v>4</v>
      </c>
      <c r="G834" s="65" t="s">
        <v>3930</v>
      </c>
      <c r="H834" s="32" t="s">
        <v>3931</v>
      </c>
      <c r="I834" s="65" t="s">
        <v>92</v>
      </c>
      <c r="J834" s="65" t="s">
        <v>401</v>
      </c>
      <c r="K834" s="68" t="s">
        <v>3938</v>
      </c>
    </row>
    <row r="835" spans="1:11" ht="45" customHeight="1">
      <c r="A835" s="32">
        <v>105</v>
      </c>
      <c r="B835" s="45" t="s">
        <v>3969</v>
      </c>
      <c r="C835" s="65" t="s">
        <v>88</v>
      </c>
      <c r="D835" s="66"/>
      <c r="E835" s="59">
        <v>49603</v>
      </c>
      <c r="F835" s="67">
        <v>4</v>
      </c>
      <c r="G835" s="65" t="s">
        <v>3971</v>
      </c>
      <c r="H835" s="32" t="s">
        <v>3972</v>
      </c>
      <c r="I835" s="65" t="s">
        <v>92</v>
      </c>
      <c r="J835" s="65" t="s">
        <v>3973</v>
      </c>
      <c r="K835" s="68" t="s">
        <v>3970</v>
      </c>
    </row>
    <row r="836" spans="1:11" ht="45" customHeight="1">
      <c r="A836" s="30"/>
      <c r="B836" s="58" t="s">
        <v>423</v>
      </c>
      <c r="C836" s="45"/>
      <c r="D836" s="46"/>
      <c r="E836" s="47">
        <f>SUM(E816:E835)</f>
        <v>1696699</v>
      </c>
      <c r="F836" s="48"/>
      <c r="G836" s="45"/>
      <c r="H836" s="30"/>
      <c r="I836" s="45"/>
      <c r="J836" s="45"/>
      <c r="K836" s="50"/>
    </row>
    <row r="837" spans="1:11" ht="45" customHeight="1">
      <c r="A837" s="30"/>
      <c r="B837" s="60" t="s">
        <v>452</v>
      </c>
      <c r="C837" s="45"/>
      <c r="D837" s="46"/>
      <c r="E837" s="47"/>
      <c r="F837" s="48"/>
      <c r="G837" s="45"/>
      <c r="H837" s="30"/>
      <c r="I837" s="45"/>
      <c r="J837" s="45"/>
      <c r="K837" s="50"/>
    </row>
    <row r="838" spans="1:11" ht="45" customHeight="1">
      <c r="A838" s="32">
        <v>105</v>
      </c>
      <c r="B838" s="45" t="s">
        <v>446</v>
      </c>
      <c r="C838" s="65" t="s">
        <v>88</v>
      </c>
      <c r="D838" s="66"/>
      <c r="E838" s="59">
        <v>47964</v>
      </c>
      <c r="F838" s="67">
        <v>4</v>
      </c>
      <c r="G838" s="70" t="s">
        <v>3985</v>
      </c>
      <c r="H838" s="32" t="s">
        <v>3986</v>
      </c>
      <c r="I838" s="65" t="s">
        <v>107</v>
      </c>
      <c r="J838" s="69" t="s">
        <v>3987</v>
      </c>
      <c r="K838" s="77" t="s">
        <v>3993</v>
      </c>
    </row>
    <row r="839" spans="1:11" ht="45" customHeight="1">
      <c r="A839" s="32">
        <v>105</v>
      </c>
      <c r="B839" s="45" t="s">
        <v>1543</v>
      </c>
      <c r="C839" s="65" t="s">
        <v>88</v>
      </c>
      <c r="D839" s="66"/>
      <c r="E839" s="59">
        <v>98330</v>
      </c>
      <c r="F839" s="67">
        <v>4</v>
      </c>
      <c r="G839" s="65" t="s">
        <v>3988</v>
      </c>
      <c r="H839" s="32" t="s">
        <v>3989</v>
      </c>
      <c r="I839" s="65" t="s">
        <v>269</v>
      </c>
      <c r="J839" s="65" t="s">
        <v>684</v>
      </c>
      <c r="K839" s="77" t="s">
        <v>3994</v>
      </c>
    </row>
    <row r="840" spans="1:11" ht="45" customHeight="1">
      <c r="A840" s="32">
        <v>105</v>
      </c>
      <c r="B840" s="45" t="s">
        <v>446</v>
      </c>
      <c r="C840" s="65" t="s">
        <v>88</v>
      </c>
      <c r="D840" s="66"/>
      <c r="E840" s="59">
        <v>98330</v>
      </c>
      <c r="F840" s="67">
        <v>4</v>
      </c>
      <c r="G840" s="65" t="s">
        <v>3990</v>
      </c>
      <c r="H840" s="32" t="s">
        <v>3989</v>
      </c>
      <c r="I840" s="65" t="s">
        <v>269</v>
      </c>
      <c r="J840" s="65" t="s">
        <v>684</v>
      </c>
      <c r="K840" s="77" t="s">
        <v>3995</v>
      </c>
    </row>
    <row r="841" spans="1:11" ht="45" customHeight="1">
      <c r="A841" s="32">
        <v>105</v>
      </c>
      <c r="B841" s="45" t="s">
        <v>1546</v>
      </c>
      <c r="C841" s="65" t="s">
        <v>88</v>
      </c>
      <c r="D841" s="66"/>
      <c r="E841" s="59">
        <v>30000</v>
      </c>
      <c r="F841" s="67">
        <v>4</v>
      </c>
      <c r="G841" s="65" t="s">
        <v>3991</v>
      </c>
      <c r="H841" s="32" t="s">
        <v>3992</v>
      </c>
      <c r="I841" s="65" t="s">
        <v>152</v>
      </c>
      <c r="J841" s="70" t="s">
        <v>3929</v>
      </c>
      <c r="K841" s="78" t="s">
        <v>6117</v>
      </c>
    </row>
    <row r="842" spans="1:11" ht="45" customHeight="1">
      <c r="A842" s="30"/>
      <c r="B842" s="58" t="s">
        <v>453</v>
      </c>
      <c r="C842" s="45"/>
      <c r="D842" s="46"/>
      <c r="E842" s="47">
        <f>SUM(E838:E841)</f>
        <v>274624</v>
      </c>
      <c r="F842" s="48"/>
      <c r="G842" s="45"/>
      <c r="H842" s="30"/>
      <c r="I842" s="45"/>
      <c r="J842" s="45"/>
      <c r="K842" s="50"/>
    </row>
    <row r="843" spans="1:11" ht="45" customHeight="1">
      <c r="A843" s="30"/>
      <c r="B843" s="60" t="s">
        <v>460</v>
      </c>
      <c r="C843" s="45"/>
      <c r="D843" s="46"/>
      <c r="E843" s="47"/>
      <c r="F843" s="48"/>
      <c r="G843" s="45"/>
      <c r="H843" s="30"/>
      <c r="I843" s="45"/>
      <c r="J843" s="45"/>
      <c r="K843" s="50"/>
    </row>
    <row r="844" spans="1:11" ht="45" customHeight="1">
      <c r="A844" s="32">
        <v>105</v>
      </c>
      <c r="B844" s="51" t="s">
        <v>1826</v>
      </c>
      <c r="C844" s="65" t="s">
        <v>88</v>
      </c>
      <c r="D844" s="66"/>
      <c r="E844" s="59">
        <v>161347</v>
      </c>
      <c r="F844" s="67">
        <v>4</v>
      </c>
      <c r="G844" s="65" t="s">
        <v>4356</v>
      </c>
      <c r="H844" s="32" t="s">
        <v>4357</v>
      </c>
      <c r="I844" s="65" t="s">
        <v>158</v>
      </c>
      <c r="J844" s="71" t="s">
        <v>404</v>
      </c>
      <c r="K844" s="68" t="s">
        <v>4355</v>
      </c>
    </row>
    <row r="845" spans="1:11" ht="45" customHeight="1">
      <c r="A845" s="32">
        <v>105</v>
      </c>
      <c r="B845" s="45" t="s">
        <v>749</v>
      </c>
      <c r="C845" s="65" t="s">
        <v>88</v>
      </c>
      <c r="D845" s="66"/>
      <c r="E845" s="59">
        <v>14604</v>
      </c>
      <c r="F845" s="67">
        <v>4</v>
      </c>
      <c r="G845" s="65" t="s">
        <v>4358</v>
      </c>
      <c r="H845" s="32" t="s">
        <v>4359</v>
      </c>
      <c r="I845" s="65" t="s">
        <v>92</v>
      </c>
      <c r="J845" s="65" t="s">
        <v>3578</v>
      </c>
      <c r="K845" s="73" t="s">
        <v>6118</v>
      </c>
    </row>
    <row r="846" spans="1:11" ht="45" customHeight="1">
      <c r="A846" s="32">
        <v>105</v>
      </c>
      <c r="B846" s="45" t="s">
        <v>1825</v>
      </c>
      <c r="C846" s="65" t="s">
        <v>88</v>
      </c>
      <c r="D846" s="66"/>
      <c r="E846" s="59">
        <v>16762</v>
      </c>
      <c r="F846" s="67">
        <v>4</v>
      </c>
      <c r="G846" s="65" t="s">
        <v>4360</v>
      </c>
      <c r="H846" s="32" t="s">
        <v>4361</v>
      </c>
      <c r="I846" s="65" t="s">
        <v>107</v>
      </c>
      <c r="J846" s="65" t="s">
        <v>4362</v>
      </c>
      <c r="K846" s="68" t="str">
        <f>"00032010"</f>
        <v>00032010</v>
      </c>
    </row>
    <row r="847" spans="1:11" ht="45" customHeight="1">
      <c r="A847" s="32">
        <v>105</v>
      </c>
      <c r="B847" s="45" t="s">
        <v>1827</v>
      </c>
      <c r="C847" s="65" t="s">
        <v>88</v>
      </c>
      <c r="D847" s="66"/>
      <c r="E847" s="59">
        <v>73883</v>
      </c>
      <c r="F847" s="67">
        <v>4</v>
      </c>
      <c r="G847" s="65" t="s">
        <v>4363</v>
      </c>
      <c r="H847" s="32" t="s">
        <v>4364</v>
      </c>
      <c r="I847" s="65" t="s">
        <v>158</v>
      </c>
      <c r="J847" s="71" t="s">
        <v>404</v>
      </c>
      <c r="K847" s="68" t="s">
        <v>4365</v>
      </c>
    </row>
    <row r="848" spans="1:11" ht="45" customHeight="1">
      <c r="A848" s="32">
        <v>105</v>
      </c>
      <c r="B848" s="45" t="s">
        <v>1828</v>
      </c>
      <c r="C848" s="65" t="s">
        <v>88</v>
      </c>
      <c r="D848" s="66"/>
      <c r="E848" s="59">
        <v>63285</v>
      </c>
      <c r="F848" s="67">
        <v>4</v>
      </c>
      <c r="G848" s="65" t="s">
        <v>4363</v>
      </c>
      <c r="H848" s="32" t="s">
        <v>4364</v>
      </c>
      <c r="I848" s="65" t="s">
        <v>158</v>
      </c>
      <c r="J848" s="71" t="s">
        <v>404</v>
      </c>
      <c r="K848" s="68" t="s">
        <v>4365</v>
      </c>
    </row>
    <row r="849" spans="1:11" ht="45" customHeight="1">
      <c r="A849" s="30"/>
      <c r="B849" s="58" t="s">
        <v>459</v>
      </c>
      <c r="C849" s="45"/>
      <c r="D849" s="46"/>
      <c r="E849" s="47">
        <f>SUM(E844:E848)</f>
        <v>329881</v>
      </c>
      <c r="F849" s="48"/>
      <c r="G849" s="45"/>
      <c r="H849" s="30"/>
      <c r="I849" s="45"/>
      <c r="J849" s="45"/>
      <c r="K849" s="50"/>
    </row>
    <row r="850" spans="1:11" ht="45" customHeight="1">
      <c r="A850" s="30"/>
      <c r="B850" s="60" t="s">
        <v>16</v>
      </c>
      <c r="C850" s="45"/>
      <c r="D850" s="46"/>
      <c r="E850" s="47"/>
      <c r="F850" s="48"/>
      <c r="G850" s="45"/>
      <c r="H850" s="30"/>
      <c r="I850" s="45"/>
      <c r="J850" s="45"/>
      <c r="K850" s="50"/>
    </row>
    <row r="851" spans="1:11" ht="45" customHeight="1">
      <c r="A851" s="32">
        <v>105</v>
      </c>
      <c r="B851" s="45" t="s">
        <v>4016</v>
      </c>
      <c r="C851" s="65" t="s">
        <v>88</v>
      </c>
      <c r="D851" s="66"/>
      <c r="E851" s="59">
        <v>6151</v>
      </c>
      <c r="F851" s="67">
        <v>4</v>
      </c>
      <c r="G851" s="72" t="s">
        <v>4017</v>
      </c>
      <c r="H851" s="32" t="s">
        <v>4018</v>
      </c>
      <c r="I851" s="65" t="s">
        <v>92</v>
      </c>
      <c r="J851" s="65" t="s">
        <v>4019</v>
      </c>
      <c r="K851" s="148" t="s">
        <v>6119</v>
      </c>
    </row>
    <row r="852" spans="1:11" ht="45" customHeight="1">
      <c r="A852" s="32">
        <v>105</v>
      </c>
      <c r="B852" s="49" t="s">
        <v>1888</v>
      </c>
      <c r="C852" s="65" t="s">
        <v>88</v>
      </c>
      <c r="D852" s="66"/>
      <c r="E852" s="59">
        <v>142538</v>
      </c>
      <c r="F852" s="67">
        <v>4</v>
      </c>
      <c r="G852" s="79" t="s">
        <v>4020</v>
      </c>
      <c r="H852" s="32" t="s">
        <v>4021</v>
      </c>
      <c r="I852" s="65" t="s">
        <v>158</v>
      </c>
      <c r="J852" s="71" t="s">
        <v>404</v>
      </c>
      <c r="K852" s="68" t="str">
        <f>"00030669"</f>
        <v>00030669</v>
      </c>
    </row>
    <row r="853" spans="1:11" ht="45" customHeight="1">
      <c r="A853" s="32">
        <v>105</v>
      </c>
      <c r="B853" s="45" t="s">
        <v>4045</v>
      </c>
      <c r="C853" s="65" t="s">
        <v>88</v>
      </c>
      <c r="D853" s="66"/>
      <c r="E853" s="59">
        <v>162980</v>
      </c>
      <c r="F853" s="67">
        <v>4</v>
      </c>
      <c r="G853" s="69" t="s">
        <v>4046</v>
      </c>
      <c r="H853" s="32" t="s">
        <v>4047</v>
      </c>
      <c r="I853" s="65" t="s">
        <v>91</v>
      </c>
      <c r="J853" s="65" t="s">
        <v>4048</v>
      </c>
      <c r="K853" s="68" t="str">
        <f>"00029320"</f>
        <v>00029320</v>
      </c>
    </row>
    <row r="854" spans="1:11" ht="45" customHeight="1">
      <c r="A854" s="30"/>
      <c r="B854" s="58" t="s">
        <v>467</v>
      </c>
      <c r="C854" s="45"/>
      <c r="D854" s="46"/>
      <c r="E854" s="47">
        <f>SUM(E851:E853)</f>
        <v>311669</v>
      </c>
      <c r="F854" s="48"/>
      <c r="G854" s="45"/>
      <c r="H854" s="30"/>
      <c r="I854" s="45"/>
      <c r="J854" s="45"/>
      <c r="K854" s="45"/>
    </row>
    <row r="855" spans="1:11" ht="45" customHeight="1">
      <c r="A855" s="30"/>
      <c r="B855" s="60" t="s">
        <v>479</v>
      </c>
      <c r="C855" s="45"/>
      <c r="D855" s="46"/>
      <c r="E855" s="47"/>
      <c r="F855" s="48"/>
      <c r="G855" s="45"/>
      <c r="H855" s="30"/>
      <c r="I855" s="45"/>
      <c r="J855" s="45"/>
      <c r="K855" s="45"/>
    </row>
    <row r="856" spans="1:11" ht="45" customHeight="1">
      <c r="A856" s="32">
        <v>105</v>
      </c>
      <c r="B856" s="45" t="s">
        <v>472</v>
      </c>
      <c r="C856" s="65" t="s">
        <v>88</v>
      </c>
      <c r="D856" s="66"/>
      <c r="E856" s="59">
        <v>68118</v>
      </c>
      <c r="F856" s="67">
        <v>4</v>
      </c>
      <c r="G856" s="69" t="s">
        <v>5396</v>
      </c>
      <c r="H856" s="32" t="s">
        <v>5397</v>
      </c>
      <c r="I856" s="65" t="s">
        <v>222</v>
      </c>
      <c r="J856" s="65" t="s">
        <v>482</v>
      </c>
      <c r="K856" s="68" t="s">
        <v>5379</v>
      </c>
    </row>
    <row r="857" spans="1:11" ht="45" customHeight="1">
      <c r="A857" s="32">
        <v>105</v>
      </c>
      <c r="B857" s="45" t="s">
        <v>472</v>
      </c>
      <c r="C857" s="65" t="s">
        <v>88</v>
      </c>
      <c r="D857" s="66"/>
      <c r="E857" s="59">
        <v>69150</v>
      </c>
      <c r="F857" s="67">
        <v>4</v>
      </c>
      <c r="G857" s="69" t="s">
        <v>5398</v>
      </c>
      <c r="H857" s="32" t="s">
        <v>5399</v>
      </c>
      <c r="I857" s="65" t="s">
        <v>1628</v>
      </c>
      <c r="J857" s="65" t="s">
        <v>5400</v>
      </c>
      <c r="K857" s="68" t="s">
        <v>5380</v>
      </c>
    </row>
    <row r="858" spans="1:11" ht="45" customHeight="1">
      <c r="A858" s="32">
        <v>105</v>
      </c>
      <c r="B858" s="45" t="s">
        <v>472</v>
      </c>
      <c r="C858" s="65" t="s">
        <v>88</v>
      </c>
      <c r="D858" s="66"/>
      <c r="E858" s="59">
        <v>69150</v>
      </c>
      <c r="F858" s="67">
        <v>4</v>
      </c>
      <c r="G858" s="69" t="s">
        <v>5401</v>
      </c>
      <c r="H858" s="32" t="s">
        <v>5399</v>
      </c>
      <c r="I858" s="65" t="s">
        <v>1628</v>
      </c>
      <c r="J858" s="65" t="s">
        <v>5400</v>
      </c>
      <c r="K858" s="68" t="s">
        <v>5381</v>
      </c>
    </row>
    <row r="859" spans="1:11" ht="45" customHeight="1">
      <c r="A859" s="32">
        <v>105</v>
      </c>
      <c r="B859" s="45" t="s">
        <v>474</v>
      </c>
      <c r="C859" s="65" t="s">
        <v>88</v>
      </c>
      <c r="D859" s="66"/>
      <c r="E859" s="59">
        <v>18550</v>
      </c>
      <c r="F859" s="67">
        <v>4</v>
      </c>
      <c r="G859" s="65" t="s">
        <v>5402</v>
      </c>
      <c r="H859" s="32" t="s">
        <v>5403</v>
      </c>
      <c r="I859" s="65" t="s">
        <v>107</v>
      </c>
      <c r="J859" s="65" t="s">
        <v>5122</v>
      </c>
      <c r="K859" s="68" t="s">
        <v>5382</v>
      </c>
    </row>
    <row r="860" spans="1:11" ht="45" customHeight="1">
      <c r="A860" s="32">
        <v>105</v>
      </c>
      <c r="B860" s="45" t="s">
        <v>476</v>
      </c>
      <c r="C860" s="65" t="s">
        <v>88</v>
      </c>
      <c r="D860" s="66"/>
      <c r="E860" s="59">
        <v>8534</v>
      </c>
      <c r="F860" s="67">
        <v>4</v>
      </c>
      <c r="G860" s="69" t="s">
        <v>5404</v>
      </c>
      <c r="H860" s="32" t="s">
        <v>5405</v>
      </c>
      <c r="I860" s="65" t="s">
        <v>150</v>
      </c>
      <c r="J860" s="65" t="s">
        <v>523</v>
      </c>
      <c r="K860" s="68" t="s">
        <v>5383</v>
      </c>
    </row>
    <row r="861" spans="1:11" ht="45" customHeight="1">
      <c r="A861" s="32">
        <v>105</v>
      </c>
      <c r="B861" s="76" t="s">
        <v>475</v>
      </c>
      <c r="C861" s="65" t="s">
        <v>88</v>
      </c>
      <c r="D861" s="66"/>
      <c r="E861" s="59">
        <v>11555</v>
      </c>
      <c r="F861" s="67">
        <v>4</v>
      </c>
      <c r="G861" s="70" t="s">
        <v>5406</v>
      </c>
      <c r="H861" s="32" t="s">
        <v>5407</v>
      </c>
      <c r="I861" s="65" t="s">
        <v>150</v>
      </c>
      <c r="J861" s="65" t="s">
        <v>523</v>
      </c>
      <c r="K861" s="68" t="s">
        <v>5384</v>
      </c>
    </row>
    <row r="862" spans="1:11" ht="45" customHeight="1">
      <c r="A862" s="32">
        <v>105</v>
      </c>
      <c r="B862" s="76" t="s">
        <v>1892</v>
      </c>
      <c r="C862" s="65" t="s">
        <v>88</v>
      </c>
      <c r="D862" s="66"/>
      <c r="E862" s="59">
        <v>40914</v>
      </c>
      <c r="F862" s="67">
        <v>4</v>
      </c>
      <c r="G862" s="69" t="s">
        <v>5408</v>
      </c>
      <c r="H862" s="32" t="s">
        <v>5409</v>
      </c>
      <c r="I862" s="65" t="s">
        <v>180</v>
      </c>
      <c r="J862" s="65" t="s">
        <v>419</v>
      </c>
      <c r="K862" s="68" t="s">
        <v>5385</v>
      </c>
    </row>
    <row r="863" spans="1:11" ht="45" customHeight="1">
      <c r="A863" s="32">
        <v>105</v>
      </c>
      <c r="B863" s="45" t="s">
        <v>477</v>
      </c>
      <c r="C863" s="65" t="s">
        <v>88</v>
      </c>
      <c r="D863" s="66"/>
      <c r="E863" s="59">
        <v>23905</v>
      </c>
      <c r="F863" s="67">
        <v>4</v>
      </c>
      <c r="G863" s="65" t="s">
        <v>5410</v>
      </c>
      <c r="H863" s="32" t="s">
        <v>5411</v>
      </c>
      <c r="I863" s="65" t="s">
        <v>107</v>
      </c>
      <c r="J863" s="65" t="s">
        <v>3252</v>
      </c>
      <c r="K863" s="68" t="s">
        <v>5386</v>
      </c>
    </row>
    <row r="864" spans="1:11" ht="45" customHeight="1">
      <c r="A864" s="32">
        <v>105</v>
      </c>
      <c r="B864" s="45" t="s">
        <v>1899</v>
      </c>
      <c r="C864" s="65" t="s">
        <v>88</v>
      </c>
      <c r="D864" s="66"/>
      <c r="E864" s="59">
        <v>4771</v>
      </c>
      <c r="F864" s="67">
        <v>4</v>
      </c>
      <c r="G864" s="69" t="s">
        <v>5412</v>
      </c>
      <c r="H864" s="32" t="s">
        <v>5413</v>
      </c>
      <c r="I864" s="65" t="s">
        <v>111</v>
      </c>
      <c r="J864" s="65" t="s">
        <v>5414</v>
      </c>
      <c r="K864" s="68" t="s">
        <v>5387</v>
      </c>
    </row>
    <row r="865" spans="1:11" ht="45" customHeight="1">
      <c r="A865" s="32">
        <v>105</v>
      </c>
      <c r="B865" s="45" t="s">
        <v>1894</v>
      </c>
      <c r="C865" s="65" t="s">
        <v>88</v>
      </c>
      <c r="D865" s="66"/>
      <c r="E865" s="59">
        <v>123821</v>
      </c>
      <c r="F865" s="67">
        <v>4</v>
      </c>
      <c r="G865" s="69" t="s">
        <v>5415</v>
      </c>
      <c r="H865" s="32" t="s">
        <v>5416</v>
      </c>
      <c r="I865" s="65" t="s">
        <v>107</v>
      </c>
      <c r="J865" s="79" t="s">
        <v>5417</v>
      </c>
      <c r="K865" s="68" t="s">
        <v>5388</v>
      </c>
    </row>
    <row r="866" spans="1:11" ht="45" customHeight="1">
      <c r="A866" s="32">
        <v>105</v>
      </c>
      <c r="B866" s="45" t="s">
        <v>476</v>
      </c>
      <c r="C866" s="65" t="s">
        <v>88</v>
      </c>
      <c r="D866" s="66"/>
      <c r="E866" s="59">
        <v>45330</v>
      </c>
      <c r="F866" s="67">
        <v>4</v>
      </c>
      <c r="G866" s="72" t="s">
        <v>5418</v>
      </c>
      <c r="H866" s="32" t="s">
        <v>5419</v>
      </c>
      <c r="I866" s="65" t="s">
        <v>92</v>
      </c>
      <c r="J866" s="65" t="s">
        <v>400</v>
      </c>
      <c r="K866" s="68" t="s">
        <v>5389</v>
      </c>
    </row>
    <row r="867" spans="1:11" ht="45" customHeight="1">
      <c r="A867" s="32">
        <v>105</v>
      </c>
      <c r="B867" s="45" t="s">
        <v>1901</v>
      </c>
      <c r="C867" s="65" t="s">
        <v>88</v>
      </c>
      <c r="D867" s="66"/>
      <c r="E867" s="59">
        <v>74233</v>
      </c>
      <c r="F867" s="67">
        <v>4</v>
      </c>
      <c r="G867" s="69" t="s">
        <v>5420</v>
      </c>
      <c r="H867" s="32" t="s">
        <v>5041</v>
      </c>
      <c r="I867" s="65" t="s">
        <v>102</v>
      </c>
      <c r="J867" s="65" t="s">
        <v>5114</v>
      </c>
      <c r="K867" s="68" t="s">
        <v>5390</v>
      </c>
    </row>
    <row r="868" spans="1:11" ht="45" customHeight="1">
      <c r="A868" s="32">
        <v>105</v>
      </c>
      <c r="B868" s="45" t="s">
        <v>1894</v>
      </c>
      <c r="C868" s="65" t="s">
        <v>88</v>
      </c>
      <c r="D868" s="66"/>
      <c r="E868" s="59">
        <v>25291</v>
      </c>
      <c r="F868" s="67">
        <v>4</v>
      </c>
      <c r="G868" s="72" t="s">
        <v>5421</v>
      </c>
      <c r="H868" s="32" t="s">
        <v>5422</v>
      </c>
      <c r="I868" s="65" t="s">
        <v>91</v>
      </c>
      <c r="J868" s="65" t="s">
        <v>4048</v>
      </c>
      <c r="K868" s="68" t="s">
        <v>5391</v>
      </c>
    </row>
    <row r="869" spans="1:11" ht="45" customHeight="1">
      <c r="A869" s="32">
        <v>105</v>
      </c>
      <c r="B869" s="49" t="s">
        <v>1900</v>
      </c>
      <c r="C869" s="65" t="s">
        <v>88</v>
      </c>
      <c r="D869" s="66"/>
      <c r="E869" s="59">
        <v>3078</v>
      </c>
      <c r="F869" s="67">
        <v>4</v>
      </c>
      <c r="G869" s="74" t="s">
        <v>5423</v>
      </c>
      <c r="H869" s="32" t="s">
        <v>5424</v>
      </c>
      <c r="I869" s="65" t="s">
        <v>104</v>
      </c>
      <c r="J869" s="65" t="s">
        <v>5425</v>
      </c>
      <c r="K869" s="68" t="s">
        <v>5392</v>
      </c>
    </row>
    <row r="870" spans="1:11" ht="45" customHeight="1">
      <c r="A870" s="32">
        <v>105</v>
      </c>
      <c r="B870" s="45" t="s">
        <v>1897</v>
      </c>
      <c r="C870" s="65" t="s">
        <v>88</v>
      </c>
      <c r="D870" s="66"/>
      <c r="E870" s="59">
        <v>35000</v>
      </c>
      <c r="F870" s="67">
        <v>4</v>
      </c>
      <c r="G870" s="69" t="s">
        <v>5426</v>
      </c>
      <c r="H870" s="32" t="s">
        <v>5427</v>
      </c>
      <c r="I870" s="65" t="s">
        <v>107</v>
      </c>
      <c r="J870" s="71" t="s">
        <v>5428</v>
      </c>
      <c r="K870" s="68" t="s">
        <v>5393</v>
      </c>
    </row>
    <row r="871" spans="1:11" ht="45" customHeight="1">
      <c r="A871" s="32">
        <v>105</v>
      </c>
      <c r="B871" s="49" t="s">
        <v>1900</v>
      </c>
      <c r="C871" s="65" t="s">
        <v>88</v>
      </c>
      <c r="D871" s="66"/>
      <c r="E871" s="59">
        <v>62949</v>
      </c>
      <c r="F871" s="67">
        <v>4</v>
      </c>
      <c r="G871" s="69" t="s">
        <v>5429</v>
      </c>
      <c r="H871" s="32" t="s">
        <v>4563</v>
      </c>
      <c r="I871" s="65" t="s">
        <v>304</v>
      </c>
      <c r="J871" s="65" t="s">
        <v>5430</v>
      </c>
      <c r="K871" s="68" t="s">
        <v>5394</v>
      </c>
    </row>
    <row r="872" spans="1:11" ht="45" customHeight="1">
      <c r="A872" s="32">
        <v>105</v>
      </c>
      <c r="B872" s="45" t="s">
        <v>1902</v>
      </c>
      <c r="C872" s="65" t="s">
        <v>88</v>
      </c>
      <c r="D872" s="66"/>
      <c r="E872" s="59">
        <v>85000</v>
      </c>
      <c r="F872" s="67">
        <v>4</v>
      </c>
      <c r="G872" s="72" t="s">
        <v>5431</v>
      </c>
      <c r="H872" s="32" t="s">
        <v>5432</v>
      </c>
      <c r="I872" s="65" t="s">
        <v>91</v>
      </c>
      <c r="J872" s="65" t="s">
        <v>4048</v>
      </c>
      <c r="K872" s="68" t="s">
        <v>5395</v>
      </c>
    </row>
    <row r="873" spans="1:11" ht="45" customHeight="1">
      <c r="A873" s="32">
        <v>105</v>
      </c>
      <c r="B873" s="45" t="s">
        <v>5433</v>
      </c>
      <c r="C873" s="65" t="s">
        <v>88</v>
      </c>
      <c r="D873" s="66"/>
      <c r="E873" s="59">
        <v>12000</v>
      </c>
      <c r="F873" s="67">
        <v>4</v>
      </c>
      <c r="G873" s="65" t="s">
        <v>5438</v>
      </c>
      <c r="H873" s="32" t="s">
        <v>5439</v>
      </c>
      <c r="I873" s="65" t="s">
        <v>92</v>
      </c>
      <c r="J873" s="65" t="s">
        <v>400</v>
      </c>
      <c r="K873" s="68" t="s">
        <v>5440</v>
      </c>
    </row>
    <row r="874" spans="1:11" ht="45" customHeight="1">
      <c r="A874" s="32">
        <v>105</v>
      </c>
      <c r="B874" s="45" t="s">
        <v>5433</v>
      </c>
      <c r="C874" s="65" t="s">
        <v>88</v>
      </c>
      <c r="D874" s="66"/>
      <c r="E874" s="59">
        <v>12000</v>
      </c>
      <c r="F874" s="67">
        <v>4</v>
      </c>
      <c r="G874" s="65" t="s">
        <v>5441</v>
      </c>
      <c r="H874" s="32" t="s">
        <v>5442</v>
      </c>
      <c r="I874" s="65" t="s">
        <v>92</v>
      </c>
      <c r="J874" s="65" t="s">
        <v>400</v>
      </c>
      <c r="K874" s="68" t="s">
        <v>5443</v>
      </c>
    </row>
    <row r="875" spans="1:11" ht="45" customHeight="1">
      <c r="A875" s="32">
        <v>105</v>
      </c>
      <c r="B875" s="45" t="s">
        <v>5433</v>
      </c>
      <c r="C875" s="65" t="s">
        <v>88</v>
      </c>
      <c r="D875" s="66"/>
      <c r="E875" s="59">
        <v>12000</v>
      </c>
      <c r="F875" s="67">
        <v>4</v>
      </c>
      <c r="G875" s="65" t="s">
        <v>5441</v>
      </c>
      <c r="H875" s="32" t="s">
        <v>5444</v>
      </c>
      <c r="I875" s="65" t="s">
        <v>92</v>
      </c>
      <c r="J875" s="65" t="s">
        <v>400</v>
      </c>
      <c r="K875" s="68" t="s">
        <v>5445</v>
      </c>
    </row>
    <row r="876" spans="1:11" ht="45" customHeight="1">
      <c r="A876" s="32">
        <v>105</v>
      </c>
      <c r="B876" s="45" t="s">
        <v>5433</v>
      </c>
      <c r="C876" s="65" t="s">
        <v>88</v>
      </c>
      <c r="D876" s="66"/>
      <c r="E876" s="59">
        <v>12000</v>
      </c>
      <c r="F876" s="67">
        <v>4</v>
      </c>
      <c r="G876" s="65" t="s">
        <v>5441</v>
      </c>
      <c r="H876" s="32" t="s">
        <v>5444</v>
      </c>
      <c r="I876" s="65" t="s">
        <v>92</v>
      </c>
      <c r="J876" s="65" t="s">
        <v>400</v>
      </c>
      <c r="K876" s="68" t="s">
        <v>5446</v>
      </c>
    </row>
    <row r="877" spans="1:11" ht="45" customHeight="1">
      <c r="A877" s="32">
        <v>105</v>
      </c>
      <c r="B877" s="45" t="s">
        <v>5434</v>
      </c>
      <c r="C877" s="65" t="s">
        <v>88</v>
      </c>
      <c r="D877" s="66"/>
      <c r="E877" s="59">
        <v>27112</v>
      </c>
      <c r="F877" s="67">
        <v>4</v>
      </c>
      <c r="G877" s="70" t="s">
        <v>5447</v>
      </c>
      <c r="H877" s="32" t="s">
        <v>5448</v>
      </c>
      <c r="I877" s="65" t="s">
        <v>177</v>
      </c>
      <c r="J877" s="65" t="s">
        <v>4734</v>
      </c>
      <c r="K877" s="68" t="s">
        <v>5449</v>
      </c>
    </row>
    <row r="878" spans="1:11" ht="45" customHeight="1">
      <c r="A878" s="32">
        <v>105</v>
      </c>
      <c r="B878" s="45" t="s">
        <v>5435</v>
      </c>
      <c r="C878" s="65" t="s">
        <v>88</v>
      </c>
      <c r="D878" s="66"/>
      <c r="E878" s="59">
        <v>17993</v>
      </c>
      <c r="F878" s="67">
        <v>4</v>
      </c>
      <c r="G878" s="69" t="s">
        <v>5450</v>
      </c>
      <c r="H878" s="32" t="s">
        <v>5451</v>
      </c>
      <c r="I878" s="65" t="s">
        <v>100</v>
      </c>
      <c r="J878" s="65" t="s">
        <v>468</v>
      </c>
      <c r="K878" s="68" t="s">
        <v>5452</v>
      </c>
    </row>
    <row r="879" spans="1:11" ht="45" customHeight="1">
      <c r="A879" s="32">
        <v>105</v>
      </c>
      <c r="B879" s="45" t="s">
        <v>5433</v>
      </c>
      <c r="C879" s="65" t="s">
        <v>88</v>
      </c>
      <c r="D879" s="66"/>
      <c r="E879" s="59">
        <v>12000</v>
      </c>
      <c r="F879" s="67">
        <v>4</v>
      </c>
      <c r="G879" s="65" t="s">
        <v>5441</v>
      </c>
      <c r="H879" s="32" t="s">
        <v>5444</v>
      </c>
      <c r="I879" s="65" t="s">
        <v>92</v>
      </c>
      <c r="J879" s="65" t="s">
        <v>400</v>
      </c>
      <c r="K879" s="68" t="s">
        <v>5453</v>
      </c>
    </row>
    <row r="880" spans="1:11" ht="45" customHeight="1">
      <c r="A880" s="32">
        <v>105</v>
      </c>
      <c r="B880" s="45" t="s">
        <v>5436</v>
      </c>
      <c r="C880" s="65" t="s">
        <v>88</v>
      </c>
      <c r="D880" s="66"/>
      <c r="E880" s="59">
        <v>25521</v>
      </c>
      <c r="F880" s="67">
        <v>4</v>
      </c>
      <c r="G880" s="74" t="s">
        <v>5423</v>
      </c>
      <c r="H880" s="32" t="s">
        <v>5424</v>
      </c>
      <c r="I880" s="65" t="s">
        <v>104</v>
      </c>
      <c r="J880" s="65" t="s">
        <v>5425</v>
      </c>
      <c r="K880" s="68" t="s">
        <v>5392</v>
      </c>
    </row>
    <row r="881" spans="1:11" ht="45" customHeight="1">
      <c r="A881" s="32">
        <v>105</v>
      </c>
      <c r="B881" s="45" t="s">
        <v>5437</v>
      </c>
      <c r="C881" s="65" t="s">
        <v>88</v>
      </c>
      <c r="D881" s="66"/>
      <c r="E881" s="59">
        <v>55214</v>
      </c>
      <c r="F881" s="67">
        <v>4</v>
      </c>
      <c r="G881" s="69" t="s">
        <v>5454</v>
      </c>
      <c r="H881" s="32" t="s">
        <v>5455</v>
      </c>
      <c r="I881" s="65" t="s">
        <v>222</v>
      </c>
      <c r="J881" s="65" t="s">
        <v>5456</v>
      </c>
      <c r="K881" s="68" t="s">
        <v>5457</v>
      </c>
    </row>
    <row r="882" spans="1:11" ht="45" customHeight="1">
      <c r="A882" s="32">
        <v>105</v>
      </c>
      <c r="B882" s="45" t="s">
        <v>5436</v>
      </c>
      <c r="C882" s="65" t="s">
        <v>88</v>
      </c>
      <c r="D882" s="66"/>
      <c r="E882" s="59">
        <v>13223</v>
      </c>
      <c r="F882" s="67">
        <v>4</v>
      </c>
      <c r="G882" s="69" t="s">
        <v>5458</v>
      </c>
      <c r="H882" s="32" t="s">
        <v>5459</v>
      </c>
      <c r="I882" s="65" t="s">
        <v>92</v>
      </c>
      <c r="J882" s="65" t="s">
        <v>400</v>
      </c>
      <c r="K882" s="68" t="s">
        <v>5460</v>
      </c>
    </row>
    <row r="883" spans="1:11" ht="45" customHeight="1">
      <c r="A883" s="32">
        <v>105</v>
      </c>
      <c r="B883" s="45" t="s">
        <v>5464</v>
      </c>
      <c r="C883" s="65" t="s">
        <v>322</v>
      </c>
      <c r="D883" s="66"/>
      <c r="E883" s="59">
        <v>4630</v>
      </c>
      <c r="F883" s="67"/>
      <c r="G883" s="65" t="s">
        <v>3553</v>
      </c>
      <c r="H883" s="32" t="s">
        <v>5465</v>
      </c>
      <c r="I883" s="65" t="s">
        <v>4343</v>
      </c>
      <c r="J883" s="65" t="s">
        <v>5466</v>
      </c>
      <c r="K883" s="73" t="s">
        <v>5467</v>
      </c>
    </row>
    <row r="884" spans="1:11" ht="45" customHeight="1">
      <c r="A884" s="32">
        <v>105</v>
      </c>
      <c r="B884" s="45" t="s">
        <v>5464</v>
      </c>
      <c r="C884" s="65" t="s">
        <v>322</v>
      </c>
      <c r="D884" s="66"/>
      <c r="E884" s="59">
        <v>3550</v>
      </c>
      <c r="F884" s="67"/>
      <c r="G884" s="65" t="s">
        <v>3553</v>
      </c>
      <c r="H884" s="32" t="s">
        <v>5468</v>
      </c>
      <c r="I884" s="65" t="s">
        <v>4343</v>
      </c>
      <c r="J884" s="65" t="s">
        <v>5466</v>
      </c>
      <c r="K884" s="73" t="s">
        <v>5467</v>
      </c>
    </row>
    <row r="885" spans="1:11" ht="45" customHeight="1">
      <c r="A885" s="31"/>
      <c r="B885" s="58" t="s">
        <v>480</v>
      </c>
      <c r="C885" s="31"/>
      <c r="D885" s="31"/>
      <c r="E885" s="47">
        <f>SUM(E856:E884)</f>
        <v>976592</v>
      </c>
      <c r="F885" s="31"/>
      <c r="G885" s="31"/>
      <c r="H885" s="31"/>
      <c r="I885" s="31"/>
      <c r="J885" s="31"/>
      <c r="K885" s="90"/>
    </row>
    <row r="886" spans="1:11" ht="45" customHeight="1">
      <c r="A886" s="31"/>
      <c r="B886" s="60" t="s">
        <v>498</v>
      </c>
      <c r="C886" s="31"/>
      <c r="D886" s="31"/>
      <c r="E886" s="47"/>
      <c r="F886" s="31"/>
      <c r="G886" s="31"/>
      <c r="H886" s="31"/>
      <c r="I886" s="31"/>
      <c r="J886" s="31"/>
      <c r="K886" s="90"/>
    </row>
    <row r="887" spans="1:11" ht="45" customHeight="1">
      <c r="A887" s="32">
        <v>105</v>
      </c>
      <c r="B887" s="51" t="s">
        <v>1906</v>
      </c>
      <c r="C887" s="65" t="s">
        <v>88</v>
      </c>
      <c r="D887" s="66"/>
      <c r="E887" s="59">
        <v>70000</v>
      </c>
      <c r="F887" s="67">
        <v>4</v>
      </c>
      <c r="G887" s="65" t="s">
        <v>4386</v>
      </c>
      <c r="H887" s="32" t="s">
        <v>3908</v>
      </c>
      <c r="I887" s="65" t="s">
        <v>569</v>
      </c>
      <c r="J887" s="65" t="s">
        <v>4387</v>
      </c>
      <c r="K887" s="68" t="str">
        <f>"00029383"</f>
        <v>00029383</v>
      </c>
    </row>
    <row r="888" spans="1:11" ht="45" customHeight="1">
      <c r="A888" s="32">
        <v>105</v>
      </c>
      <c r="B888" s="45" t="s">
        <v>503</v>
      </c>
      <c r="C888" s="65" t="s">
        <v>88</v>
      </c>
      <c r="D888" s="66"/>
      <c r="E888" s="59">
        <v>59810</v>
      </c>
      <c r="F888" s="67">
        <v>4</v>
      </c>
      <c r="G888" s="65" t="s">
        <v>4388</v>
      </c>
      <c r="H888" s="32" t="s">
        <v>4389</v>
      </c>
      <c r="I888" s="65" t="s">
        <v>187</v>
      </c>
      <c r="J888" s="65" t="s">
        <v>521</v>
      </c>
      <c r="K888" s="68" t="str">
        <f>"00028232"</f>
        <v>00028232</v>
      </c>
    </row>
    <row r="889" spans="1:11" ht="45" customHeight="1">
      <c r="A889" s="32">
        <v>105</v>
      </c>
      <c r="B889" s="45" t="s">
        <v>503</v>
      </c>
      <c r="C889" s="65" t="s">
        <v>88</v>
      </c>
      <c r="D889" s="66"/>
      <c r="E889" s="59">
        <v>70414</v>
      </c>
      <c r="F889" s="67">
        <v>4</v>
      </c>
      <c r="G889" s="65" t="s">
        <v>4390</v>
      </c>
      <c r="H889" s="32" t="s">
        <v>4391</v>
      </c>
      <c r="I889" s="65" t="s">
        <v>187</v>
      </c>
      <c r="J889" s="65" t="s">
        <v>521</v>
      </c>
      <c r="K889" s="68" t="str">
        <f>"00028181"</f>
        <v>00028181</v>
      </c>
    </row>
    <row r="890" spans="1:11" ht="45" customHeight="1">
      <c r="A890" s="32">
        <v>105</v>
      </c>
      <c r="B890" s="45" t="s">
        <v>1903</v>
      </c>
      <c r="C890" s="65" t="s">
        <v>88</v>
      </c>
      <c r="D890" s="66"/>
      <c r="E890" s="59">
        <v>2253</v>
      </c>
      <c r="F890" s="67">
        <v>4</v>
      </c>
      <c r="G890" s="65" t="s">
        <v>4392</v>
      </c>
      <c r="H890" s="32" t="s">
        <v>4393</v>
      </c>
      <c r="I890" s="65" t="s">
        <v>104</v>
      </c>
      <c r="J890" s="65" t="s">
        <v>420</v>
      </c>
      <c r="K890" s="68" t="str">
        <f>"00030389"</f>
        <v>00030389</v>
      </c>
    </row>
    <row r="891" spans="1:11" ht="45" customHeight="1">
      <c r="A891" s="32">
        <v>105</v>
      </c>
      <c r="B891" s="45" t="s">
        <v>1903</v>
      </c>
      <c r="C891" s="65" t="s">
        <v>88</v>
      </c>
      <c r="D891" s="66"/>
      <c r="E891" s="59">
        <v>43510</v>
      </c>
      <c r="F891" s="67">
        <v>4</v>
      </c>
      <c r="G891" s="65" t="s">
        <v>4392</v>
      </c>
      <c r="H891" s="32" t="s">
        <v>4394</v>
      </c>
      <c r="I891" s="65" t="s">
        <v>104</v>
      </c>
      <c r="J891" s="65" t="s">
        <v>420</v>
      </c>
      <c r="K891" s="68" t="str">
        <f>"00030500"</f>
        <v>00030500</v>
      </c>
    </row>
    <row r="892" spans="1:11" ht="45" customHeight="1">
      <c r="A892" s="32">
        <v>105</v>
      </c>
      <c r="B892" s="45" t="s">
        <v>1904</v>
      </c>
      <c r="C892" s="65" t="s">
        <v>88</v>
      </c>
      <c r="D892" s="66"/>
      <c r="E892" s="59">
        <v>76900</v>
      </c>
      <c r="F892" s="67">
        <v>4</v>
      </c>
      <c r="G892" s="65" t="s">
        <v>4395</v>
      </c>
      <c r="H892" s="32" t="s">
        <v>4396</v>
      </c>
      <c r="I892" s="65" t="s">
        <v>107</v>
      </c>
      <c r="J892" s="65" t="s">
        <v>604</v>
      </c>
      <c r="K892" s="68" t="str">
        <f>"00030649"</f>
        <v>00030649</v>
      </c>
    </row>
    <row r="893" spans="1:11" ht="45" customHeight="1">
      <c r="A893" s="32">
        <v>105</v>
      </c>
      <c r="B893" s="45" t="s">
        <v>1907</v>
      </c>
      <c r="C893" s="65" t="s">
        <v>88</v>
      </c>
      <c r="D893" s="66"/>
      <c r="E893" s="59">
        <v>77753</v>
      </c>
      <c r="F893" s="67">
        <v>4</v>
      </c>
      <c r="G893" s="65" t="s">
        <v>4397</v>
      </c>
      <c r="H893" s="32" t="s">
        <v>4398</v>
      </c>
      <c r="I893" s="65" t="s">
        <v>107</v>
      </c>
      <c r="J893" s="65" t="s">
        <v>483</v>
      </c>
      <c r="K893" s="68" t="str">
        <f>"00028458"</f>
        <v>00028458</v>
      </c>
    </row>
    <row r="894" spans="1:11" ht="45" customHeight="1">
      <c r="A894" s="32">
        <v>105</v>
      </c>
      <c r="B894" s="45" t="s">
        <v>1905</v>
      </c>
      <c r="C894" s="65" t="s">
        <v>88</v>
      </c>
      <c r="D894" s="66"/>
      <c r="E894" s="59">
        <v>122333</v>
      </c>
      <c r="F894" s="67">
        <v>4</v>
      </c>
      <c r="G894" s="65" t="s">
        <v>4399</v>
      </c>
      <c r="H894" s="32" t="s">
        <v>4400</v>
      </c>
      <c r="I894" s="65" t="s">
        <v>107</v>
      </c>
      <c r="J894" s="65" t="s">
        <v>544</v>
      </c>
      <c r="K894" s="68" t="str">
        <f>"00030830"</f>
        <v>00030830</v>
      </c>
    </row>
    <row r="895" spans="1:11" ht="45" customHeight="1">
      <c r="A895" s="32">
        <v>105</v>
      </c>
      <c r="B895" s="45" t="s">
        <v>503</v>
      </c>
      <c r="C895" s="65" t="s">
        <v>88</v>
      </c>
      <c r="D895" s="66"/>
      <c r="E895" s="59">
        <v>60387</v>
      </c>
      <c r="F895" s="67">
        <v>4</v>
      </c>
      <c r="G895" s="65" t="s">
        <v>4401</v>
      </c>
      <c r="H895" s="32" t="s">
        <v>4402</v>
      </c>
      <c r="I895" s="65" t="s">
        <v>165</v>
      </c>
      <c r="J895" s="65" t="s">
        <v>4403</v>
      </c>
      <c r="K895" s="68" t="s">
        <v>4384</v>
      </c>
    </row>
    <row r="896" spans="1:11" ht="45" customHeight="1">
      <c r="A896" s="32">
        <v>105</v>
      </c>
      <c r="B896" s="45" t="s">
        <v>1908</v>
      </c>
      <c r="C896" s="65" t="s">
        <v>88</v>
      </c>
      <c r="D896" s="66"/>
      <c r="E896" s="59">
        <v>53870</v>
      </c>
      <c r="F896" s="67">
        <v>4</v>
      </c>
      <c r="G896" s="65" t="s">
        <v>4404</v>
      </c>
      <c r="H896" s="32" t="s">
        <v>4405</v>
      </c>
      <c r="I896" s="65" t="s">
        <v>100</v>
      </c>
      <c r="J896" s="65" t="s">
        <v>468</v>
      </c>
      <c r="K896" s="68" t="str">
        <f>"00031817"</f>
        <v>00031817</v>
      </c>
    </row>
    <row r="897" spans="1:11" ht="45" customHeight="1">
      <c r="A897" s="32">
        <v>105</v>
      </c>
      <c r="B897" s="45" t="s">
        <v>1903</v>
      </c>
      <c r="C897" s="65" t="s">
        <v>88</v>
      </c>
      <c r="D897" s="66"/>
      <c r="E897" s="59">
        <v>87918</v>
      </c>
      <c r="F897" s="67">
        <v>4</v>
      </c>
      <c r="G897" s="65" t="s">
        <v>4406</v>
      </c>
      <c r="H897" s="32" t="s">
        <v>4407</v>
      </c>
      <c r="I897" s="65" t="s">
        <v>104</v>
      </c>
      <c r="J897" s="65" t="s">
        <v>4408</v>
      </c>
      <c r="K897" s="68" t="str">
        <f>"00031593"</f>
        <v>00031593</v>
      </c>
    </row>
    <row r="898" spans="1:11" ht="45" customHeight="1">
      <c r="A898" s="32">
        <v>105</v>
      </c>
      <c r="B898" s="45" t="s">
        <v>1903</v>
      </c>
      <c r="C898" s="65" t="s">
        <v>88</v>
      </c>
      <c r="D898" s="66"/>
      <c r="E898" s="59">
        <v>46545</v>
      </c>
      <c r="F898" s="67">
        <v>4</v>
      </c>
      <c r="G898" s="65" t="s">
        <v>4409</v>
      </c>
      <c r="H898" s="32" t="s">
        <v>4410</v>
      </c>
      <c r="I898" s="65" t="s">
        <v>104</v>
      </c>
      <c r="J898" s="65" t="s">
        <v>420</v>
      </c>
      <c r="K898" s="68" t="str">
        <f>"00030501"</f>
        <v>00030501</v>
      </c>
    </row>
    <row r="899" spans="1:11" ht="45" customHeight="1">
      <c r="A899" s="32">
        <v>105</v>
      </c>
      <c r="B899" s="45" t="s">
        <v>1910</v>
      </c>
      <c r="C899" s="65" t="s">
        <v>88</v>
      </c>
      <c r="D899" s="66"/>
      <c r="E899" s="59">
        <v>70000</v>
      </c>
      <c r="F899" s="67">
        <v>4</v>
      </c>
      <c r="G899" s="72" t="s">
        <v>4411</v>
      </c>
      <c r="H899" s="32" t="s">
        <v>4412</v>
      </c>
      <c r="I899" s="65" t="s">
        <v>107</v>
      </c>
      <c r="J899" s="65" t="s">
        <v>399</v>
      </c>
      <c r="K899" s="68" t="s">
        <v>4385</v>
      </c>
    </row>
    <row r="900" spans="1:11" ht="45" customHeight="1">
      <c r="A900" s="32">
        <v>105</v>
      </c>
      <c r="B900" s="45" t="s">
        <v>1912</v>
      </c>
      <c r="C900" s="65" t="s">
        <v>88</v>
      </c>
      <c r="D900" s="66"/>
      <c r="E900" s="59">
        <v>90000</v>
      </c>
      <c r="F900" s="67">
        <v>4</v>
      </c>
      <c r="G900" s="79" t="s">
        <v>4413</v>
      </c>
      <c r="H900" s="32" t="s">
        <v>4414</v>
      </c>
      <c r="I900" s="65" t="s">
        <v>107</v>
      </c>
      <c r="J900" s="65" t="s">
        <v>483</v>
      </c>
      <c r="K900" s="68" t="str">
        <f>"00028777"</f>
        <v>00028777</v>
      </c>
    </row>
    <row r="901" spans="1:11" ht="45" customHeight="1">
      <c r="A901" s="32">
        <v>105</v>
      </c>
      <c r="B901" s="45" t="s">
        <v>1911</v>
      </c>
      <c r="C901" s="65" t="s">
        <v>88</v>
      </c>
      <c r="D901" s="66"/>
      <c r="E901" s="59">
        <v>73401</v>
      </c>
      <c r="F901" s="67">
        <v>4</v>
      </c>
      <c r="G901" s="70" t="s">
        <v>4415</v>
      </c>
      <c r="H901" s="32" t="s">
        <v>4396</v>
      </c>
      <c r="I901" s="65" t="s">
        <v>107</v>
      </c>
      <c r="J901" s="65" t="s">
        <v>604</v>
      </c>
      <c r="K901" s="68" t="str">
        <f>"00030670"</f>
        <v>00030670</v>
      </c>
    </row>
    <row r="902" spans="1:11" ht="45" customHeight="1">
      <c r="A902" s="31"/>
      <c r="B902" s="58" t="s">
        <v>500</v>
      </c>
      <c r="C902" s="31"/>
      <c r="D902" s="31"/>
      <c r="E902" s="47">
        <f>SUM(E887:E901)</f>
        <v>1005094</v>
      </c>
      <c r="F902" s="31"/>
      <c r="G902" s="31"/>
      <c r="H902" s="31"/>
      <c r="I902" s="31"/>
      <c r="J902" s="31"/>
      <c r="K902" s="31"/>
    </row>
    <row r="903" spans="1:11" ht="45" customHeight="1">
      <c r="A903" s="31"/>
      <c r="B903" s="60" t="s">
        <v>518</v>
      </c>
      <c r="C903" s="31"/>
      <c r="D903" s="31"/>
      <c r="E903" s="47"/>
      <c r="F903" s="31"/>
      <c r="G903" s="31"/>
      <c r="H903" s="31"/>
      <c r="I903" s="31"/>
      <c r="J903" s="31"/>
      <c r="K903" s="31"/>
    </row>
    <row r="904" spans="1:11" ht="45" customHeight="1">
      <c r="A904" s="32">
        <v>105</v>
      </c>
      <c r="B904" s="45" t="s">
        <v>1985</v>
      </c>
      <c r="C904" s="65" t="s">
        <v>88</v>
      </c>
      <c r="D904" s="66"/>
      <c r="E904" s="59">
        <v>98044</v>
      </c>
      <c r="F904" s="67">
        <v>4</v>
      </c>
      <c r="G904" s="65" t="s">
        <v>4994</v>
      </c>
      <c r="H904" s="32" t="s">
        <v>4995</v>
      </c>
      <c r="I904" s="65" t="s">
        <v>107</v>
      </c>
      <c r="J904" s="65" t="s">
        <v>544</v>
      </c>
      <c r="K904" s="68" t="str">
        <f>"00026651"</f>
        <v>00026651</v>
      </c>
    </row>
    <row r="905" spans="1:11" ht="45" customHeight="1">
      <c r="A905" s="32">
        <v>105</v>
      </c>
      <c r="B905" s="45" t="s">
        <v>512</v>
      </c>
      <c r="C905" s="65" t="s">
        <v>88</v>
      </c>
      <c r="D905" s="66"/>
      <c r="E905" s="59">
        <v>47351</v>
      </c>
      <c r="F905" s="67">
        <v>4</v>
      </c>
      <c r="G905" s="65" t="s">
        <v>4996</v>
      </c>
      <c r="H905" s="32" t="s">
        <v>4997</v>
      </c>
      <c r="I905" s="65" t="s">
        <v>92</v>
      </c>
      <c r="J905" s="65" t="s">
        <v>401</v>
      </c>
      <c r="K905" s="68" t="str">
        <f>"00027040"</f>
        <v>00027040</v>
      </c>
    </row>
    <row r="906" spans="1:11" ht="45" customHeight="1">
      <c r="A906" s="32">
        <v>105</v>
      </c>
      <c r="B906" s="45" t="s">
        <v>506</v>
      </c>
      <c r="C906" s="65" t="s">
        <v>88</v>
      </c>
      <c r="D906" s="66"/>
      <c r="E906" s="59">
        <v>44362</v>
      </c>
      <c r="F906" s="67">
        <v>4</v>
      </c>
      <c r="G906" s="65" t="s">
        <v>4998</v>
      </c>
      <c r="H906" s="32" t="s">
        <v>4999</v>
      </c>
      <c r="I906" s="65" t="s">
        <v>92</v>
      </c>
      <c r="J906" s="65" t="s">
        <v>401</v>
      </c>
      <c r="K906" s="68" t="str">
        <f>"00026870"</f>
        <v>00026870</v>
      </c>
    </row>
    <row r="907" spans="1:11" ht="45" customHeight="1">
      <c r="A907" s="32">
        <v>105</v>
      </c>
      <c r="B907" s="45" t="s">
        <v>511</v>
      </c>
      <c r="C907" s="65" t="s">
        <v>88</v>
      </c>
      <c r="D907" s="66"/>
      <c r="E907" s="59">
        <v>89276</v>
      </c>
      <c r="F907" s="67">
        <v>4</v>
      </c>
      <c r="G907" s="65" t="s">
        <v>5000</v>
      </c>
      <c r="H907" s="32" t="s">
        <v>5001</v>
      </c>
      <c r="I907" s="65" t="s">
        <v>107</v>
      </c>
      <c r="J907" s="70" t="s">
        <v>522</v>
      </c>
      <c r="K907" s="73" t="s">
        <v>5076</v>
      </c>
    </row>
    <row r="908" spans="1:11" ht="45" customHeight="1">
      <c r="A908" s="32">
        <v>105</v>
      </c>
      <c r="B908" s="45" t="s">
        <v>526</v>
      </c>
      <c r="C908" s="65" t="s">
        <v>88</v>
      </c>
      <c r="D908" s="66"/>
      <c r="E908" s="59">
        <v>96513</v>
      </c>
      <c r="F908" s="67">
        <v>4</v>
      </c>
      <c r="G908" s="70" t="s">
        <v>5002</v>
      </c>
      <c r="H908" s="32" t="s">
        <v>5003</v>
      </c>
      <c r="I908" s="65" t="s">
        <v>107</v>
      </c>
      <c r="J908" s="65" t="s">
        <v>713</v>
      </c>
      <c r="K908" s="68" t="str">
        <f>"00027658"</f>
        <v>00027658</v>
      </c>
    </row>
    <row r="909" spans="1:11" ht="45" customHeight="1">
      <c r="A909" s="32">
        <v>105</v>
      </c>
      <c r="B909" s="51" t="s">
        <v>513</v>
      </c>
      <c r="C909" s="65" t="s">
        <v>88</v>
      </c>
      <c r="D909" s="66"/>
      <c r="E909" s="59">
        <v>61935</v>
      </c>
      <c r="F909" s="67">
        <v>4</v>
      </c>
      <c r="G909" s="65" t="s">
        <v>5004</v>
      </c>
      <c r="H909" s="32" t="s">
        <v>5005</v>
      </c>
      <c r="I909" s="65" t="s">
        <v>102</v>
      </c>
      <c r="J909" s="65" t="s">
        <v>5006</v>
      </c>
      <c r="K909" s="68" t="str">
        <f>"00027939"</f>
        <v>00027939</v>
      </c>
    </row>
    <row r="910" spans="1:11" ht="45" customHeight="1">
      <c r="A910" s="32">
        <v>105</v>
      </c>
      <c r="B910" s="45" t="s">
        <v>504</v>
      </c>
      <c r="C910" s="65" t="s">
        <v>88</v>
      </c>
      <c r="D910" s="66"/>
      <c r="E910" s="59">
        <v>60000</v>
      </c>
      <c r="F910" s="67">
        <v>4</v>
      </c>
      <c r="G910" s="65" t="s">
        <v>5007</v>
      </c>
      <c r="H910" s="32" t="s">
        <v>5008</v>
      </c>
      <c r="I910" s="65" t="s">
        <v>107</v>
      </c>
      <c r="J910" s="70" t="s">
        <v>522</v>
      </c>
      <c r="K910" s="68" t="str">
        <f>"00027427"</f>
        <v>00027427</v>
      </c>
    </row>
    <row r="911" spans="1:11" ht="45" customHeight="1">
      <c r="A911" s="32">
        <v>105</v>
      </c>
      <c r="B911" s="51" t="s">
        <v>513</v>
      </c>
      <c r="C911" s="65" t="s">
        <v>88</v>
      </c>
      <c r="D911" s="66"/>
      <c r="E911" s="59">
        <v>61936</v>
      </c>
      <c r="F911" s="67">
        <v>4</v>
      </c>
      <c r="G911" s="65" t="s">
        <v>5009</v>
      </c>
      <c r="H911" s="32" t="s">
        <v>5005</v>
      </c>
      <c r="I911" s="65" t="s">
        <v>102</v>
      </c>
      <c r="J911" s="65" t="s">
        <v>5006</v>
      </c>
      <c r="K911" s="68" t="str">
        <f>"00027949"</f>
        <v>00027949</v>
      </c>
    </row>
    <row r="912" spans="1:11" ht="45" customHeight="1">
      <c r="A912" s="32">
        <v>105</v>
      </c>
      <c r="B912" s="45" t="s">
        <v>1994</v>
      </c>
      <c r="C912" s="65" t="s">
        <v>88</v>
      </c>
      <c r="D912" s="66"/>
      <c r="E912" s="59">
        <v>100651</v>
      </c>
      <c r="F912" s="67">
        <v>4</v>
      </c>
      <c r="G912" s="65" t="s">
        <v>5010</v>
      </c>
      <c r="H912" s="32" t="s">
        <v>4439</v>
      </c>
      <c r="I912" s="65" t="s">
        <v>100</v>
      </c>
      <c r="J912" s="65" t="s">
        <v>468</v>
      </c>
      <c r="K912" s="68" t="str">
        <f>"00029427"</f>
        <v>00029427</v>
      </c>
    </row>
    <row r="913" spans="1:11" ht="45" customHeight="1">
      <c r="A913" s="32">
        <v>105</v>
      </c>
      <c r="B913" s="45" t="s">
        <v>526</v>
      </c>
      <c r="C913" s="65" t="s">
        <v>88</v>
      </c>
      <c r="D913" s="66"/>
      <c r="E913" s="59">
        <v>54924</v>
      </c>
      <c r="F913" s="67">
        <v>4</v>
      </c>
      <c r="G913" s="69" t="s">
        <v>5071</v>
      </c>
      <c r="H913" s="32" t="s">
        <v>5011</v>
      </c>
      <c r="I913" s="65" t="s">
        <v>1989</v>
      </c>
      <c r="J913" s="69" t="s">
        <v>5012</v>
      </c>
      <c r="K913" s="73" t="s">
        <v>5077</v>
      </c>
    </row>
    <row r="914" spans="1:11" ht="45" customHeight="1">
      <c r="A914" s="32">
        <v>105</v>
      </c>
      <c r="B914" s="45" t="s">
        <v>511</v>
      </c>
      <c r="C914" s="65" t="s">
        <v>88</v>
      </c>
      <c r="D914" s="66"/>
      <c r="E914" s="59">
        <v>87610</v>
      </c>
      <c r="F914" s="67">
        <v>4</v>
      </c>
      <c r="G914" s="69" t="s">
        <v>5013</v>
      </c>
      <c r="H914" s="32" t="s">
        <v>5014</v>
      </c>
      <c r="I914" s="65" t="s">
        <v>107</v>
      </c>
      <c r="J914" s="70" t="s">
        <v>522</v>
      </c>
      <c r="K914" s="73" t="s">
        <v>5078</v>
      </c>
    </row>
    <row r="915" spans="1:11" ht="45" customHeight="1">
      <c r="A915" s="32">
        <v>105</v>
      </c>
      <c r="B915" s="45" t="s">
        <v>504</v>
      </c>
      <c r="C915" s="65" t="s">
        <v>88</v>
      </c>
      <c r="D915" s="66"/>
      <c r="E915" s="59">
        <v>60000</v>
      </c>
      <c r="F915" s="67">
        <v>4</v>
      </c>
      <c r="G915" s="65" t="s">
        <v>5015</v>
      </c>
      <c r="H915" s="32" t="s">
        <v>5016</v>
      </c>
      <c r="I915" s="65" t="s">
        <v>107</v>
      </c>
      <c r="J915" s="70" t="s">
        <v>522</v>
      </c>
      <c r="K915" s="68" t="str">
        <f>"00027450"</f>
        <v>00027450</v>
      </c>
    </row>
    <row r="916" spans="1:11" ht="45" customHeight="1">
      <c r="A916" s="32">
        <v>105</v>
      </c>
      <c r="B916" s="76" t="s">
        <v>1993</v>
      </c>
      <c r="C916" s="65" t="s">
        <v>88</v>
      </c>
      <c r="D916" s="66"/>
      <c r="E916" s="59">
        <v>143618</v>
      </c>
      <c r="F916" s="67">
        <v>4</v>
      </c>
      <c r="G916" s="69" t="s">
        <v>5072</v>
      </c>
      <c r="H916" s="32" t="s">
        <v>3243</v>
      </c>
      <c r="I916" s="65" t="s">
        <v>116</v>
      </c>
      <c r="J916" s="65" t="s">
        <v>5017</v>
      </c>
      <c r="K916" s="68" t="str">
        <f>"00029565"</f>
        <v>00029565</v>
      </c>
    </row>
    <row r="917" spans="1:11" ht="45" customHeight="1">
      <c r="A917" s="32">
        <v>105</v>
      </c>
      <c r="B917" s="49" t="s">
        <v>1984</v>
      </c>
      <c r="C917" s="65" t="s">
        <v>88</v>
      </c>
      <c r="D917" s="66"/>
      <c r="E917" s="59">
        <v>73956</v>
      </c>
      <c r="F917" s="67">
        <v>4</v>
      </c>
      <c r="G917" s="65" t="s">
        <v>6143</v>
      </c>
      <c r="H917" s="32" t="s">
        <v>5018</v>
      </c>
      <c r="I917" s="65" t="s">
        <v>120</v>
      </c>
      <c r="J917" s="65" t="s">
        <v>418</v>
      </c>
      <c r="K917" s="68" t="str">
        <f>"00028645"</f>
        <v>00028645</v>
      </c>
    </row>
    <row r="918" spans="1:11" ht="45" customHeight="1">
      <c r="A918" s="32">
        <v>105</v>
      </c>
      <c r="B918" s="45" t="s">
        <v>509</v>
      </c>
      <c r="C918" s="65" t="s">
        <v>88</v>
      </c>
      <c r="D918" s="66"/>
      <c r="E918" s="59">
        <v>127007</v>
      </c>
      <c r="F918" s="67">
        <v>4</v>
      </c>
      <c r="G918" s="65" t="s">
        <v>5019</v>
      </c>
      <c r="H918" s="32" t="s">
        <v>5020</v>
      </c>
      <c r="I918" s="65" t="s">
        <v>111</v>
      </c>
      <c r="J918" s="65" t="s">
        <v>5021</v>
      </c>
      <c r="K918" s="68" t="str">
        <f>"00029394"</f>
        <v>00029394</v>
      </c>
    </row>
    <row r="919" spans="1:11" ht="45" customHeight="1">
      <c r="A919" s="32">
        <v>105</v>
      </c>
      <c r="B919" s="45" t="s">
        <v>507</v>
      </c>
      <c r="C919" s="65" t="s">
        <v>88</v>
      </c>
      <c r="D919" s="66"/>
      <c r="E919" s="59">
        <v>110964</v>
      </c>
      <c r="F919" s="67">
        <v>4</v>
      </c>
      <c r="G919" s="65" t="s">
        <v>5022</v>
      </c>
      <c r="H919" s="32" t="s">
        <v>5023</v>
      </c>
      <c r="I919" s="65" t="s">
        <v>107</v>
      </c>
      <c r="J919" s="70" t="s">
        <v>522</v>
      </c>
      <c r="K919" s="68" t="str">
        <f>"00030651"</f>
        <v>00030651</v>
      </c>
    </row>
    <row r="920" spans="1:11" ht="45" customHeight="1">
      <c r="A920" s="32">
        <v>105</v>
      </c>
      <c r="B920" s="49" t="s">
        <v>505</v>
      </c>
      <c r="C920" s="65" t="s">
        <v>88</v>
      </c>
      <c r="D920" s="66"/>
      <c r="E920" s="59">
        <v>121872</v>
      </c>
      <c r="F920" s="67">
        <v>4</v>
      </c>
      <c r="G920" s="65" t="s">
        <v>5024</v>
      </c>
      <c r="H920" s="32" t="s">
        <v>5025</v>
      </c>
      <c r="I920" s="65" t="s">
        <v>107</v>
      </c>
      <c r="J920" s="70" t="s">
        <v>522</v>
      </c>
      <c r="K920" s="68" t="str">
        <f>"00030534"</f>
        <v>00030534</v>
      </c>
    </row>
    <row r="921" spans="1:11" ht="45" customHeight="1">
      <c r="A921" s="32">
        <v>105</v>
      </c>
      <c r="B921" s="45" t="s">
        <v>1995</v>
      </c>
      <c r="C921" s="65" t="s">
        <v>88</v>
      </c>
      <c r="D921" s="66"/>
      <c r="E921" s="59">
        <v>69784</v>
      </c>
      <c r="F921" s="67">
        <v>4</v>
      </c>
      <c r="G921" s="65" t="s">
        <v>5026</v>
      </c>
      <c r="H921" s="32" t="s">
        <v>5027</v>
      </c>
      <c r="I921" s="65" t="s">
        <v>92</v>
      </c>
      <c r="J921" s="65" t="s">
        <v>5028</v>
      </c>
      <c r="K921" s="68" t="str">
        <f>"00030058"</f>
        <v>00030058</v>
      </c>
    </row>
    <row r="922" spans="1:11" ht="45" customHeight="1">
      <c r="A922" s="32">
        <v>105</v>
      </c>
      <c r="B922" s="45" t="s">
        <v>1991</v>
      </c>
      <c r="C922" s="65" t="s">
        <v>88</v>
      </c>
      <c r="D922" s="66"/>
      <c r="E922" s="59">
        <v>71940</v>
      </c>
      <c r="F922" s="67">
        <v>4</v>
      </c>
      <c r="G922" s="65" t="s">
        <v>5029</v>
      </c>
      <c r="H922" s="32" t="s">
        <v>5030</v>
      </c>
      <c r="I922" s="65" t="s">
        <v>233</v>
      </c>
      <c r="J922" s="65" t="s">
        <v>5031</v>
      </c>
      <c r="K922" s="68" t="str">
        <f>"00030295"</f>
        <v>00030295</v>
      </c>
    </row>
    <row r="923" spans="1:11" ht="45" customHeight="1">
      <c r="A923" s="32">
        <v>105</v>
      </c>
      <c r="B923" s="45" t="s">
        <v>1991</v>
      </c>
      <c r="C923" s="65" t="s">
        <v>88</v>
      </c>
      <c r="D923" s="66"/>
      <c r="E923" s="59">
        <v>66475</v>
      </c>
      <c r="F923" s="67">
        <v>4</v>
      </c>
      <c r="G923" s="65" t="s">
        <v>5032</v>
      </c>
      <c r="H923" s="32" t="s">
        <v>5033</v>
      </c>
      <c r="I923" s="65" t="s">
        <v>92</v>
      </c>
      <c r="J923" s="65" t="s">
        <v>5028</v>
      </c>
      <c r="K923" s="68" t="str">
        <f>"00030879"</f>
        <v>00030879</v>
      </c>
    </row>
    <row r="924" spans="1:11" ht="45" customHeight="1">
      <c r="A924" s="32">
        <v>105</v>
      </c>
      <c r="B924" s="45" t="s">
        <v>2000</v>
      </c>
      <c r="C924" s="65" t="s">
        <v>88</v>
      </c>
      <c r="D924" s="66"/>
      <c r="E924" s="59">
        <v>31208</v>
      </c>
      <c r="F924" s="67">
        <v>4</v>
      </c>
      <c r="G924" s="69" t="s">
        <v>5034</v>
      </c>
      <c r="H924" s="32" t="s">
        <v>5035</v>
      </c>
      <c r="I924" s="65" t="s">
        <v>92</v>
      </c>
      <c r="J924" s="65" t="s">
        <v>5028</v>
      </c>
      <c r="K924" s="68" t="str">
        <f>"00030901"</f>
        <v>00030901</v>
      </c>
    </row>
    <row r="925" spans="1:11" ht="45" customHeight="1">
      <c r="A925" s="32">
        <v>105</v>
      </c>
      <c r="B925" s="45" t="s">
        <v>2000</v>
      </c>
      <c r="C925" s="65" t="s">
        <v>88</v>
      </c>
      <c r="D925" s="66"/>
      <c r="E925" s="59">
        <v>36895</v>
      </c>
      <c r="F925" s="67">
        <v>4</v>
      </c>
      <c r="G925" s="70" t="s">
        <v>5073</v>
      </c>
      <c r="H925" s="32" t="s">
        <v>5036</v>
      </c>
      <c r="I925" s="65" t="s">
        <v>92</v>
      </c>
      <c r="J925" s="65" t="s">
        <v>5028</v>
      </c>
      <c r="K925" s="77" t="s">
        <v>5079</v>
      </c>
    </row>
    <row r="926" spans="1:11" ht="45" customHeight="1">
      <c r="A926" s="32">
        <v>105</v>
      </c>
      <c r="B926" s="51" t="s">
        <v>1997</v>
      </c>
      <c r="C926" s="65" t="s">
        <v>88</v>
      </c>
      <c r="D926" s="66"/>
      <c r="E926" s="59">
        <v>103025</v>
      </c>
      <c r="F926" s="67">
        <v>4</v>
      </c>
      <c r="G926" s="65" t="s">
        <v>5037</v>
      </c>
      <c r="H926" s="32" t="s">
        <v>5038</v>
      </c>
      <c r="I926" s="65" t="s">
        <v>107</v>
      </c>
      <c r="J926" s="70" t="s">
        <v>522</v>
      </c>
      <c r="K926" s="68" t="str">
        <f>"00030490"</f>
        <v>00030490</v>
      </c>
    </row>
    <row r="927" spans="1:11" ht="45" customHeight="1">
      <c r="A927" s="32">
        <v>105</v>
      </c>
      <c r="B927" s="45" t="s">
        <v>1991</v>
      </c>
      <c r="C927" s="65" t="s">
        <v>88</v>
      </c>
      <c r="D927" s="66"/>
      <c r="E927" s="59">
        <v>66475</v>
      </c>
      <c r="F927" s="67">
        <v>4</v>
      </c>
      <c r="G927" s="65" t="s">
        <v>5039</v>
      </c>
      <c r="H927" s="32" t="s">
        <v>4273</v>
      </c>
      <c r="I927" s="65" t="s">
        <v>92</v>
      </c>
      <c r="J927" s="65" t="s">
        <v>5028</v>
      </c>
      <c r="K927" s="68" t="str">
        <f>"00030873"</f>
        <v>00030873</v>
      </c>
    </row>
    <row r="928" spans="1:11" ht="45" customHeight="1">
      <c r="A928" s="32">
        <v>105</v>
      </c>
      <c r="B928" s="45" t="s">
        <v>1991</v>
      </c>
      <c r="C928" s="65" t="s">
        <v>88</v>
      </c>
      <c r="D928" s="66"/>
      <c r="E928" s="59">
        <v>59979</v>
      </c>
      <c r="F928" s="67">
        <v>4</v>
      </c>
      <c r="G928" s="65" t="s">
        <v>5040</v>
      </c>
      <c r="H928" s="32" t="s">
        <v>5041</v>
      </c>
      <c r="I928" s="65" t="s">
        <v>92</v>
      </c>
      <c r="J928" s="65" t="s">
        <v>5028</v>
      </c>
      <c r="K928" s="68" t="str">
        <f>"00030766"</f>
        <v>00030766</v>
      </c>
    </row>
    <row r="929" spans="1:11" ht="45" customHeight="1">
      <c r="A929" s="32">
        <v>105</v>
      </c>
      <c r="B929" s="45" t="s">
        <v>509</v>
      </c>
      <c r="C929" s="65" t="s">
        <v>88</v>
      </c>
      <c r="D929" s="66"/>
      <c r="E929" s="59">
        <v>66577</v>
      </c>
      <c r="F929" s="67">
        <v>4</v>
      </c>
      <c r="G929" s="65" t="s">
        <v>5042</v>
      </c>
      <c r="H929" s="32" t="s">
        <v>5043</v>
      </c>
      <c r="I929" s="65" t="s">
        <v>1999</v>
      </c>
      <c r="J929" s="65" t="s">
        <v>5044</v>
      </c>
      <c r="K929" s="68" t="str">
        <f>"00030148"</f>
        <v>00030148</v>
      </c>
    </row>
    <row r="930" spans="1:11" ht="45" customHeight="1">
      <c r="A930" s="32">
        <v>105</v>
      </c>
      <c r="B930" s="45" t="s">
        <v>1986</v>
      </c>
      <c r="C930" s="65" t="s">
        <v>88</v>
      </c>
      <c r="D930" s="66"/>
      <c r="E930" s="59">
        <v>80000</v>
      </c>
      <c r="F930" s="67">
        <v>4</v>
      </c>
      <c r="G930" s="65" t="s">
        <v>5045</v>
      </c>
      <c r="H930" s="32" t="s">
        <v>5046</v>
      </c>
      <c r="I930" s="65" t="s">
        <v>107</v>
      </c>
      <c r="J930" s="65" t="s">
        <v>544</v>
      </c>
      <c r="K930" s="68" t="str">
        <f>"00032460"</f>
        <v>00032460</v>
      </c>
    </row>
    <row r="931" spans="1:11" ht="45" customHeight="1">
      <c r="A931" s="32">
        <v>105</v>
      </c>
      <c r="B931" s="45" t="s">
        <v>512</v>
      </c>
      <c r="C931" s="65" t="s">
        <v>88</v>
      </c>
      <c r="D931" s="66"/>
      <c r="E931" s="59">
        <v>18000</v>
      </c>
      <c r="F931" s="67">
        <v>4</v>
      </c>
      <c r="G931" s="65" t="s">
        <v>5047</v>
      </c>
      <c r="H931" s="32" t="s">
        <v>5048</v>
      </c>
      <c r="I931" s="65" t="s">
        <v>107</v>
      </c>
      <c r="J931" s="65" t="s">
        <v>501</v>
      </c>
      <c r="K931" s="68" t="str">
        <f>"00032461"</f>
        <v>00032461</v>
      </c>
    </row>
    <row r="932" spans="1:11" ht="45" customHeight="1">
      <c r="A932" s="32">
        <v>105</v>
      </c>
      <c r="B932" s="45" t="s">
        <v>2000</v>
      </c>
      <c r="C932" s="65" t="s">
        <v>88</v>
      </c>
      <c r="D932" s="66"/>
      <c r="E932" s="59">
        <v>61285</v>
      </c>
      <c r="F932" s="67">
        <v>4</v>
      </c>
      <c r="G932" s="69" t="s">
        <v>5074</v>
      </c>
      <c r="H932" s="32" t="s">
        <v>5035</v>
      </c>
      <c r="I932" s="65" t="s">
        <v>92</v>
      </c>
      <c r="J932" s="65" t="s">
        <v>5028</v>
      </c>
      <c r="K932" s="77" t="s">
        <v>6120</v>
      </c>
    </row>
    <row r="933" spans="1:11" ht="45" customHeight="1">
      <c r="A933" s="32">
        <v>105</v>
      </c>
      <c r="B933" s="49" t="s">
        <v>1984</v>
      </c>
      <c r="C933" s="65" t="s">
        <v>88</v>
      </c>
      <c r="D933" s="66"/>
      <c r="E933" s="59">
        <v>25455</v>
      </c>
      <c r="F933" s="67">
        <v>4</v>
      </c>
      <c r="G933" s="65" t="s">
        <v>5049</v>
      </c>
      <c r="H933" s="32" t="s">
        <v>5050</v>
      </c>
      <c r="I933" s="65" t="s">
        <v>92</v>
      </c>
      <c r="J933" s="65" t="s">
        <v>5051</v>
      </c>
      <c r="K933" s="68" t="str">
        <f>"00031335"</f>
        <v>00031335</v>
      </c>
    </row>
    <row r="934" spans="1:11" ht="45" customHeight="1">
      <c r="A934" s="32">
        <v>105</v>
      </c>
      <c r="B934" s="49" t="s">
        <v>1982</v>
      </c>
      <c r="C934" s="65" t="s">
        <v>88</v>
      </c>
      <c r="D934" s="66"/>
      <c r="E934" s="59">
        <v>116891</v>
      </c>
      <c r="F934" s="67">
        <v>4</v>
      </c>
      <c r="G934" s="72" t="s">
        <v>5052</v>
      </c>
      <c r="H934" s="32" t="s">
        <v>5053</v>
      </c>
      <c r="I934" s="65" t="s">
        <v>107</v>
      </c>
      <c r="J934" s="65" t="s">
        <v>544</v>
      </c>
      <c r="K934" s="78" t="s">
        <v>6121</v>
      </c>
    </row>
    <row r="935" spans="1:11" ht="45" customHeight="1">
      <c r="A935" s="32">
        <v>105</v>
      </c>
      <c r="B935" s="45" t="s">
        <v>508</v>
      </c>
      <c r="C935" s="65" t="s">
        <v>88</v>
      </c>
      <c r="D935" s="66"/>
      <c r="E935" s="59">
        <v>58682</v>
      </c>
      <c r="F935" s="67">
        <v>4</v>
      </c>
      <c r="G935" s="65" t="s">
        <v>5054</v>
      </c>
      <c r="H935" s="32" t="s">
        <v>5055</v>
      </c>
      <c r="I935" s="65" t="s">
        <v>107</v>
      </c>
      <c r="J935" s="65" t="s">
        <v>520</v>
      </c>
      <c r="K935" s="68" t="str">
        <f>"00028571"</f>
        <v>00028571</v>
      </c>
    </row>
    <row r="936" spans="1:11" ht="45" customHeight="1">
      <c r="A936" s="32">
        <v>105</v>
      </c>
      <c r="B936" s="45" t="s">
        <v>1981</v>
      </c>
      <c r="C936" s="65" t="s">
        <v>88</v>
      </c>
      <c r="D936" s="66"/>
      <c r="E936" s="59">
        <v>60452</v>
      </c>
      <c r="F936" s="67">
        <v>4</v>
      </c>
      <c r="G936" s="65" t="s">
        <v>5056</v>
      </c>
      <c r="H936" s="32" t="s">
        <v>5057</v>
      </c>
      <c r="I936" s="65" t="s">
        <v>107</v>
      </c>
      <c r="J936" s="69" t="s">
        <v>5058</v>
      </c>
      <c r="K936" s="68" t="str">
        <f>"00027273"</f>
        <v>00027273</v>
      </c>
    </row>
    <row r="937" spans="1:11" ht="45" customHeight="1">
      <c r="A937" s="32">
        <v>105</v>
      </c>
      <c r="B937" s="49" t="s">
        <v>2004</v>
      </c>
      <c r="C937" s="65" t="s">
        <v>88</v>
      </c>
      <c r="D937" s="66"/>
      <c r="E937" s="59">
        <v>80000</v>
      </c>
      <c r="F937" s="67">
        <v>4</v>
      </c>
      <c r="G937" s="65" t="s">
        <v>5059</v>
      </c>
      <c r="H937" s="32" t="s">
        <v>5060</v>
      </c>
      <c r="I937" s="65" t="s">
        <v>91</v>
      </c>
      <c r="J937" s="65" t="s">
        <v>616</v>
      </c>
      <c r="K937" s="68" t="str">
        <f>"00029323"</f>
        <v>00029323</v>
      </c>
    </row>
    <row r="938" spans="1:11" ht="45" customHeight="1">
      <c r="A938" s="32">
        <v>105</v>
      </c>
      <c r="B938" s="49" t="s">
        <v>2003</v>
      </c>
      <c r="C938" s="65" t="s">
        <v>88</v>
      </c>
      <c r="D938" s="66"/>
      <c r="E938" s="59">
        <v>67399</v>
      </c>
      <c r="F938" s="67">
        <v>4</v>
      </c>
      <c r="G938" s="65" t="s">
        <v>5061</v>
      </c>
      <c r="H938" s="32" t="s">
        <v>5062</v>
      </c>
      <c r="I938" s="65" t="s">
        <v>92</v>
      </c>
      <c r="J938" s="65" t="s">
        <v>5028</v>
      </c>
      <c r="K938" s="68" t="str">
        <f>"00030903"</f>
        <v>00030903</v>
      </c>
    </row>
    <row r="939" spans="1:11" ht="45" customHeight="1">
      <c r="A939" s="32">
        <v>105</v>
      </c>
      <c r="B939" s="51" t="s">
        <v>5070</v>
      </c>
      <c r="C939" s="65" t="s">
        <v>88</v>
      </c>
      <c r="D939" s="66"/>
      <c r="E939" s="59">
        <v>50000</v>
      </c>
      <c r="F939" s="67">
        <v>4</v>
      </c>
      <c r="G939" s="65" t="s">
        <v>5063</v>
      </c>
      <c r="H939" s="32" t="s">
        <v>4995</v>
      </c>
      <c r="I939" s="65" t="s">
        <v>107</v>
      </c>
      <c r="J939" s="65" t="s">
        <v>544</v>
      </c>
      <c r="K939" s="68" t="str">
        <f>"00027514"</f>
        <v>00027514</v>
      </c>
    </row>
    <row r="940" spans="1:11" ht="45" customHeight="1">
      <c r="A940" s="32">
        <v>105</v>
      </c>
      <c r="B940" s="55" t="s">
        <v>2002</v>
      </c>
      <c r="C940" s="65" t="s">
        <v>88</v>
      </c>
      <c r="D940" s="66"/>
      <c r="E940" s="59">
        <v>60000</v>
      </c>
      <c r="F940" s="67">
        <v>4</v>
      </c>
      <c r="G940" s="69" t="s">
        <v>5075</v>
      </c>
      <c r="H940" s="32" t="s">
        <v>5064</v>
      </c>
      <c r="I940" s="65" t="s">
        <v>116</v>
      </c>
      <c r="J940" s="65" t="s">
        <v>5065</v>
      </c>
      <c r="K940" s="68" t="str">
        <f>"00027908"</f>
        <v>00027908</v>
      </c>
    </row>
    <row r="941" spans="1:11" ht="45" customHeight="1">
      <c r="A941" s="32">
        <v>105</v>
      </c>
      <c r="B941" s="49" t="s">
        <v>2001</v>
      </c>
      <c r="C941" s="65" t="s">
        <v>88</v>
      </c>
      <c r="D941" s="66"/>
      <c r="E941" s="59">
        <v>60000</v>
      </c>
      <c r="F941" s="67">
        <v>4</v>
      </c>
      <c r="G941" s="65" t="s">
        <v>5066</v>
      </c>
      <c r="H941" s="32" t="s">
        <v>5064</v>
      </c>
      <c r="I941" s="65" t="s">
        <v>116</v>
      </c>
      <c r="J941" s="65" t="s">
        <v>5067</v>
      </c>
      <c r="K941" s="68" t="str">
        <f>"00028282"</f>
        <v>00028282</v>
      </c>
    </row>
    <row r="942" spans="1:11" ht="45" customHeight="1">
      <c r="A942" s="32">
        <v>105</v>
      </c>
      <c r="B942" s="45" t="s">
        <v>5068</v>
      </c>
      <c r="C942" s="65" t="s">
        <v>88</v>
      </c>
      <c r="D942" s="66"/>
      <c r="E942" s="59">
        <v>28977</v>
      </c>
      <c r="F942" s="67">
        <v>4</v>
      </c>
      <c r="G942" s="65" t="s">
        <v>5069</v>
      </c>
      <c r="H942" s="32" t="s">
        <v>5046</v>
      </c>
      <c r="I942" s="65" t="s">
        <v>107</v>
      </c>
      <c r="J942" s="65" t="s">
        <v>544</v>
      </c>
      <c r="K942" s="68" t="str">
        <f>"00032460"</f>
        <v>00032460</v>
      </c>
    </row>
    <row r="943" spans="1:11" ht="45" customHeight="1">
      <c r="A943" s="31"/>
      <c r="B943" s="58" t="s">
        <v>517</v>
      </c>
      <c r="C943" s="31"/>
      <c r="D943" s="31"/>
      <c r="E943" s="47">
        <f>SUM(E904:E942)</f>
        <v>2779518</v>
      </c>
      <c r="F943" s="31"/>
      <c r="G943" s="31"/>
      <c r="H943" s="31"/>
      <c r="I943" s="31"/>
      <c r="J943" s="31"/>
      <c r="K943" s="31"/>
    </row>
    <row r="944" spans="1:11" ht="45" customHeight="1">
      <c r="A944" s="31"/>
      <c r="B944" s="60" t="s">
        <v>528</v>
      </c>
      <c r="C944" s="31"/>
      <c r="D944" s="31"/>
      <c r="E944" s="47"/>
      <c r="F944" s="31"/>
      <c r="G944" s="31"/>
      <c r="H944" s="31"/>
      <c r="I944" s="31"/>
      <c r="J944" s="31"/>
      <c r="K944" s="31"/>
    </row>
    <row r="945" spans="1:11" ht="45" customHeight="1">
      <c r="A945" s="32">
        <v>105</v>
      </c>
      <c r="B945" s="51" t="s">
        <v>4490</v>
      </c>
      <c r="C945" s="65" t="s">
        <v>4449</v>
      </c>
      <c r="D945" s="66"/>
      <c r="E945" s="59">
        <v>66856</v>
      </c>
      <c r="F945" s="67">
        <v>4</v>
      </c>
      <c r="G945" s="65" t="s">
        <v>4475</v>
      </c>
      <c r="H945" s="32" t="s">
        <v>3847</v>
      </c>
      <c r="I945" s="65" t="s">
        <v>4448</v>
      </c>
      <c r="J945" s="65" t="s">
        <v>4450</v>
      </c>
      <c r="K945" s="91" t="s">
        <v>4497</v>
      </c>
    </row>
    <row r="946" spans="1:11" ht="45" customHeight="1">
      <c r="A946" s="32">
        <v>105</v>
      </c>
      <c r="B946" s="45" t="s">
        <v>4476</v>
      </c>
      <c r="C946" s="65" t="s">
        <v>4449</v>
      </c>
      <c r="D946" s="66"/>
      <c r="E946" s="59">
        <v>57950</v>
      </c>
      <c r="F946" s="67">
        <v>4</v>
      </c>
      <c r="G946" s="65" t="s">
        <v>4489</v>
      </c>
      <c r="H946" s="32" t="s">
        <v>4438</v>
      </c>
      <c r="I946" s="65" t="s">
        <v>4448</v>
      </c>
      <c r="J946" s="65" t="s">
        <v>4450</v>
      </c>
      <c r="K946" s="91" t="s">
        <v>4467</v>
      </c>
    </row>
    <row r="947" spans="1:11" ht="45" customHeight="1">
      <c r="A947" s="32">
        <v>105</v>
      </c>
      <c r="B947" s="45" t="s">
        <v>4451</v>
      </c>
      <c r="C947" s="65" t="s">
        <v>4449</v>
      </c>
      <c r="D947" s="66"/>
      <c r="E947" s="59">
        <v>12329</v>
      </c>
      <c r="F947" s="67">
        <v>4</v>
      </c>
      <c r="G947" s="65" t="s">
        <v>4477</v>
      </c>
      <c r="H947" s="32" t="s">
        <v>4439</v>
      </c>
      <c r="I947" s="65" t="s">
        <v>4452</v>
      </c>
      <c r="J947" s="65" t="s">
        <v>4478</v>
      </c>
      <c r="K947" s="68" t="str">
        <f>"00030185"</f>
        <v>00030185</v>
      </c>
    </row>
    <row r="948" spans="1:11" ht="45" customHeight="1">
      <c r="A948" s="32">
        <v>105</v>
      </c>
      <c r="B948" s="45" t="s">
        <v>4451</v>
      </c>
      <c r="C948" s="65" t="s">
        <v>4449</v>
      </c>
      <c r="D948" s="66"/>
      <c r="E948" s="59">
        <v>4584</v>
      </c>
      <c r="F948" s="67">
        <v>4</v>
      </c>
      <c r="G948" s="70" t="s">
        <v>4468</v>
      </c>
      <c r="H948" s="32" t="s">
        <v>4440</v>
      </c>
      <c r="I948" s="65" t="s">
        <v>4453</v>
      </c>
      <c r="J948" s="65" t="s">
        <v>4479</v>
      </c>
      <c r="K948" s="91" t="s">
        <v>4469</v>
      </c>
    </row>
    <row r="949" spans="1:11" ht="45" customHeight="1">
      <c r="A949" s="32">
        <v>105</v>
      </c>
      <c r="B949" s="45" t="s">
        <v>4454</v>
      </c>
      <c r="C949" s="65" t="s">
        <v>4449</v>
      </c>
      <c r="D949" s="66"/>
      <c r="E949" s="59">
        <v>57939</v>
      </c>
      <c r="F949" s="67">
        <v>4</v>
      </c>
      <c r="G949" s="70" t="s">
        <v>4470</v>
      </c>
      <c r="H949" s="32" t="s">
        <v>4439</v>
      </c>
      <c r="I949" s="65" t="s">
        <v>4452</v>
      </c>
      <c r="J949" s="65" t="s">
        <v>4478</v>
      </c>
      <c r="K949" s="91" t="s">
        <v>4471</v>
      </c>
    </row>
    <row r="950" spans="1:11" ht="45" customHeight="1">
      <c r="A950" s="32">
        <v>105</v>
      </c>
      <c r="B950" s="45" t="s">
        <v>4454</v>
      </c>
      <c r="C950" s="65" t="s">
        <v>4449</v>
      </c>
      <c r="D950" s="66"/>
      <c r="E950" s="59">
        <v>74674</v>
      </c>
      <c r="F950" s="67">
        <v>4</v>
      </c>
      <c r="G950" s="65" t="s">
        <v>4480</v>
      </c>
      <c r="H950" s="32" t="s">
        <v>4441</v>
      </c>
      <c r="I950" s="65" t="s">
        <v>4455</v>
      </c>
      <c r="J950" s="65" t="s">
        <v>4481</v>
      </c>
      <c r="K950" s="91" t="s">
        <v>4472</v>
      </c>
    </row>
    <row r="951" spans="1:11" ht="45" customHeight="1">
      <c r="A951" s="32">
        <v>105</v>
      </c>
      <c r="B951" s="45" t="s">
        <v>4482</v>
      </c>
      <c r="C951" s="65" t="s">
        <v>4449</v>
      </c>
      <c r="D951" s="66"/>
      <c r="E951" s="59">
        <v>16994</v>
      </c>
      <c r="F951" s="67">
        <v>4</v>
      </c>
      <c r="G951" s="69" t="s">
        <v>4492</v>
      </c>
      <c r="H951" s="32" t="s">
        <v>4442</v>
      </c>
      <c r="I951" s="65" t="s">
        <v>4455</v>
      </c>
      <c r="J951" s="65" t="s">
        <v>4483</v>
      </c>
      <c r="K951" s="68" t="str">
        <f>"00027898"</f>
        <v>00027898</v>
      </c>
    </row>
    <row r="952" spans="1:11" ht="45" customHeight="1">
      <c r="A952" s="32">
        <v>105</v>
      </c>
      <c r="B952" s="45" t="s">
        <v>4484</v>
      </c>
      <c r="C952" s="65" t="s">
        <v>4449</v>
      </c>
      <c r="D952" s="66"/>
      <c r="E952" s="59">
        <v>88459</v>
      </c>
      <c r="F952" s="67">
        <v>4</v>
      </c>
      <c r="G952" s="65" t="s">
        <v>4456</v>
      </c>
      <c r="H952" s="32" t="s">
        <v>4443</v>
      </c>
      <c r="I952" s="65" t="s">
        <v>4455</v>
      </c>
      <c r="J952" s="65" t="s">
        <v>4483</v>
      </c>
      <c r="K952" s="68" t="str">
        <f>"00028262"</f>
        <v>00028262</v>
      </c>
    </row>
    <row r="953" spans="1:11" ht="45" customHeight="1">
      <c r="A953" s="32">
        <v>105</v>
      </c>
      <c r="B953" s="45" t="s">
        <v>4485</v>
      </c>
      <c r="C953" s="65" t="s">
        <v>4449</v>
      </c>
      <c r="D953" s="66"/>
      <c r="E953" s="59">
        <v>8250</v>
      </c>
      <c r="F953" s="67">
        <v>4</v>
      </c>
      <c r="G953" s="70" t="s">
        <v>4473</v>
      </c>
      <c r="H953" s="32" t="s">
        <v>4444</v>
      </c>
      <c r="I953" s="65" t="s">
        <v>4455</v>
      </c>
      <c r="J953" s="65" t="s">
        <v>4486</v>
      </c>
      <c r="K953" s="68" t="str">
        <f>"00029465"</f>
        <v>00029465</v>
      </c>
    </row>
    <row r="954" spans="1:11" ht="45" customHeight="1">
      <c r="A954" s="32">
        <v>105</v>
      </c>
      <c r="B954" s="45" t="s">
        <v>4482</v>
      </c>
      <c r="C954" s="65" t="s">
        <v>4449</v>
      </c>
      <c r="D954" s="66"/>
      <c r="E954" s="59">
        <v>43887</v>
      </c>
      <c r="F954" s="67">
        <v>4</v>
      </c>
      <c r="G954" s="65" t="s">
        <v>4487</v>
      </c>
      <c r="H954" s="32" t="s">
        <v>4445</v>
      </c>
      <c r="I954" s="65" t="s">
        <v>4457</v>
      </c>
      <c r="J954" s="65" t="s">
        <v>4488</v>
      </c>
      <c r="K954" s="68" t="str">
        <f>"00029538"</f>
        <v>00029538</v>
      </c>
    </row>
    <row r="955" spans="1:11" ht="45" customHeight="1">
      <c r="A955" s="32">
        <v>105</v>
      </c>
      <c r="B955" s="45" t="s">
        <v>4451</v>
      </c>
      <c r="C955" s="65" t="s">
        <v>4449</v>
      </c>
      <c r="D955" s="66"/>
      <c r="E955" s="59">
        <v>5508</v>
      </c>
      <c r="F955" s="67">
        <v>4</v>
      </c>
      <c r="G955" s="69" t="s">
        <v>4493</v>
      </c>
      <c r="H955" s="32" t="s">
        <v>4446</v>
      </c>
      <c r="I955" s="65" t="s">
        <v>4457</v>
      </c>
      <c r="J955" s="65" t="s">
        <v>4458</v>
      </c>
      <c r="K955" s="91" t="s">
        <v>4474</v>
      </c>
    </row>
    <row r="956" spans="1:11" ht="45" customHeight="1">
      <c r="A956" s="32">
        <v>105</v>
      </c>
      <c r="B956" s="45" t="s">
        <v>4459</v>
      </c>
      <c r="C956" s="65" t="s">
        <v>4449</v>
      </c>
      <c r="D956" s="66"/>
      <c r="E956" s="59">
        <v>77642</v>
      </c>
      <c r="F956" s="67">
        <v>4</v>
      </c>
      <c r="G956" s="69" t="s">
        <v>4494</v>
      </c>
      <c r="H956" s="32" t="s">
        <v>4435</v>
      </c>
      <c r="I956" s="65" t="s">
        <v>4460</v>
      </c>
      <c r="J956" s="65" t="s">
        <v>4461</v>
      </c>
      <c r="K956" s="68" t="str">
        <f>"00030774"</f>
        <v>00030774</v>
      </c>
    </row>
    <row r="957" spans="1:11" ht="45" customHeight="1">
      <c r="A957" s="32">
        <v>105</v>
      </c>
      <c r="B957" s="45" t="s">
        <v>4462</v>
      </c>
      <c r="C957" s="65" t="s">
        <v>4449</v>
      </c>
      <c r="D957" s="66"/>
      <c r="E957" s="59">
        <v>63944</v>
      </c>
      <c r="F957" s="67">
        <v>4</v>
      </c>
      <c r="G957" s="65" t="s">
        <v>4463</v>
      </c>
      <c r="H957" s="32" t="s">
        <v>4447</v>
      </c>
      <c r="I957" s="65" t="s">
        <v>4448</v>
      </c>
      <c r="J957" s="65" t="s">
        <v>4450</v>
      </c>
      <c r="K957" s="68" t="str">
        <f>"00029983"</f>
        <v>00029983</v>
      </c>
    </row>
    <row r="958" spans="1:11" ht="45" customHeight="1">
      <c r="A958" s="32">
        <v>105</v>
      </c>
      <c r="B958" s="45" t="s">
        <v>4459</v>
      </c>
      <c r="C958" s="65" t="s">
        <v>4449</v>
      </c>
      <c r="D958" s="66"/>
      <c r="E958" s="59">
        <v>77792</v>
      </c>
      <c r="F958" s="67">
        <v>4</v>
      </c>
      <c r="G958" s="69" t="s">
        <v>6122</v>
      </c>
      <c r="H958" s="32" t="s">
        <v>4435</v>
      </c>
      <c r="I958" s="65" t="s">
        <v>4460</v>
      </c>
      <c r="J958" s="65" t="s">
        <v>4461</v>
      </c>
      <c r="K958" s="68" t="str">
        <f>"00030778"</f>
        <v>00030778</v>
      </c>
    </row>
    <row r="959" spans="1:11" ht="45" customHeight="1">
      <c r="A959" s="32">
        <v>105</v>
      </c>
      <c r="B959" s="45" t="s">
        <v>4459</v>
      </c>
      <c r="C959" s="65" t="s">
        <v>4449</v>
      </c>
      <c r="D959" s="66"/>
      <c r="E959" s="59">
        <v>77642</v>
      </c>
      <c r="F959" s="67">
        <v>4</v>
      </c>
      <c r="G959" s="69" t="s">
        <v>4494</v>
      </c>
      <c r="H959" s="32" t="s">
        <v>4435</v>
      </c>
      <c r="I959" s="65" t="s">
        <v>4460</v>
      </c>
      <c r="J959" s="65" t="s">
        <v>4461</v>
      </c>
      <c r="K959" s="68" t="str">
        <f>"00030777"</f>
        <v>00030777</v>
      </c>
    </row>
    <row r="960" spans="1:11" ht="45" customHeight="1">
      <c r="A960" s="32">
        <v>105</v>
      </c>
      <c r="B960" s="45" t="s">
        <v>4459</v>
      </c>
      <c r="C960" s="65" t="s">
        <v>4449</v>
      </c>
      <c r="D960" s="66"/>
      <c r="E960" s="59">
        <v>77642</v>
      </c>
      <c r="F960" s="67">
        <v>4</v>
      </c>
      <c r="G960" s="74" t="s">
        <v>6123</v>
      </c>
      <c r="H960" s="32" t="s">
        <v>4435</v>
      </c>
      <c r="I960" s="65" t="s">
        <v>4460</v>
      </c>
      <c r="J960" s="65" t="s">
        <v>4461</v>
      </c>
      <c r="K960" s="68" t="str">
        <f>"00030773"</f>
        <v>00030773</v>
      </c>
    </row>
    <row r="961" spans="1:11" ht="45" customHeight="1">
      <c r="A961" s="32">
        <v>105</v>
      </c>
      <c r="B961" s="45" t="s">
        <v>4459</v>
      </c>
      <c r="C961" s="65" t="s">
        <v>4449</v>
      </c>
      <c r="D961" s="66"/>
      <c r="E961" s="59">
        <v>77641</v>
      </c>
      <c r="F961" s="67">
        <v>4</v>
      </c>
      <c r="G961" s="74" t="s">
        <v>6123</v>
      </c>
      <c r="H961" s="32" t="s">
        <v>4435</v>
      </c>
      <c r="I961" s="65" t="s">
        <v>4460</v>
      </c>
      <c r="J961" s="65" t="s">
        <v>4461</v>
      </c>
      <c r="K961" s="68" t="str">
        <f>"00030776"</f>
        <v>00030776</v>
      </c>
    </row>
    <row r="962" spans="1:11" ht="45" customHeight="1">
      <c r="A962" s="32">
        <v>105</v>
      </c>
      <c r="B962" s="45" t="s">
        <v>4464</v>
      </c>
      <c r="C962" s="65" t="s">
        <v>4449</v>
      </c>
      <c r="D962" s="66"/>
      <c r="E962" s="59">
        <v>77641</v>
      </c>
      <c r="F962" s="67">
        <v>4</v>
      </c>
      <c r="G962" s="69" t="s">
        <v>4495</v>
      </c>
      <c r="H962" s="32" t="s">
        <v>4435</v>
      </c>
      <c r="I962" s="65" t="s">
        <v>4460</v>
      </c>
      <c r="J962" s="65" t="s">
        <v>4461</v>
      </c>
      <c r="K962" s="68" t="str">
        <f>"00030765"</f>
        <v>00030765</v>
      </c>
    </row>
    <row r="963" spans="1:11" ht="45" customHeight="1">
      <c r="A963" s="32">
        <v>105</v>
      </c>
      <c r="B963" s="49" t="s">
        <v>4491</v>
      </c>
      <c r="C963" s="65" t="s">
        <v>4449</v>
      </c>
      <c r="D963" s="66"/>
      <c r="E963" s="59">
        <v>42223</v>
      </c>
      <c r="F963" s="67">
        <v>4</v>
      </c>
      <c r="G963" s="65" t="s">
        <v>4465</v>
      </c>
      <c r="H963" s="32" t="s">
        <v>4436</v>
      </c>
      <c r="I963" s="65" t="s">
        <v>4448</v>
      </c>
      <c r="J963" s="65" t="s">
        <v>4466</v>
      </c>
      <c r="K963" s="68" t="str">
        <f>"00025421"</f>
        <v>00025421</v>
      </c>
    </row>
    <row r="964" spans="1:11" ht="45" customHeight="1">
      <c r="A964" s="32">
        <v>105</v>
      </c>
      <c r="B964" s="55" t="s">
        <v>6124</v>
      </c>
      <c r="C964" s="65" t="s">
        <v>4449</v>
      </c>
      <c r="D964" s="66"/>
      <c r="E964" s="59">
        <v>51957</v>
      </c>
      <c r="F964" s="67">
        <v>4</v>
      </c>
      <c r="G964" s="65" t="s">
        <v>4465</v>
      </c>
      <c r="H964" s="32" t="s">
        <v>4437</v>
      </c>
      <c r="I964" s="65" t="s">
        <v>4448</v>
      </c>
      <c r="J964" s="65" t="s">
        <v>4466</v>
      </c>
      <c r="K964" s="68" t="str">
        <f>"00025257"</f>
        <v>00025257</v>
      </c>
    </row>
    <row r="965" spans="1:11" ht="45" customHeight="1">
      <c r="A965" s="32">
        <v>105</v>
      </c>
      <c r="B965" s="55" t="s">
        <v>6124</v>
      </c>
      <c r="C965" s="65" t="s">
        <v>4449</v>
      </c>
      <c r="D965" s="66"/>
      <c r="E965" s="59">
        <v>51957</v>
      </c>
      <c r="F965" s="67">
        <v>4</v>
      </c>
      <c r="G965" s="69" t="s">
        <v>4496</v>
      </c>
      <c r="H965" s="32" t="s">
        <v>4437</v>
      </c>
      <c r="I965" s="65" t="s">
        <v>4448</v>
      </c>
      <c r="J965" s="65" t="s">
        <v>4466</v>
      </c>
      <c r="K965" s="68" t="str">
        <f>"00025425"</f>
        <v>00025425</v>
      </c>
    </row>
    <row r="966" spans="1:11" ht="45" customHeight="1">
      <c r="A966" s="32">
        <v>105</v>
      </c>
      <c r="B966" s="55" t="s">
        <v>6124</v>
      </c>
      <c r="C966" s="65" t="s">
        <v>4449</v>
      </c>
      <c r="D966" s="66"/>
      <c r="E966" s="59">
        <v>51957</v>
      </c>
      <c r="F966" s="67">
        <v>4</v>
      </c>
      <c r="G966" s="65" t="s">
        <v>4465</v>
      </c>
      <c r="H966" s="32" t="s">
        <v>4437</v>
      </c>
      <c r="I966" s="65" t="s">
        <v>4448</v>
      </c>
      <c r="J966" s="65" t="s">
        <v>4466</v>
      </c>
      <c r="K966" s="68" t="str">
        <f>"00025430"</f>
        <v>00025430</v>
      </c>
    </row>
    <row r="967" spans="1:11" ht="45" customHeight="1">
      <c r="A967" s="32">
        <v>105</v>
      </c>
      <c r="B967" s="55" t="s">
        <v>6124</v>
      </c>
      <c r="C967" s="65" t="s">
        <v>4449</v>
      </c>
      <c r="D967" s="66"/>
      <c r="E967" s="59">
        <v>51957</v>
      </c>
      <c r="F967" s="67">
        <v>4</v>
      </c>
      <c r="G967" s="65" t="s">
        <v>4465</v>
      </c>
      <c r="H967" s="32" t="s">
        <v>4437</v>
      </c>
      <c r="I967" s="65" t="s">
        <v>4448</v>
      </c>
      <c r="J967" s="65" t="s">
        <v>4466</v>
      </c>
      <c r="K967" s="68" t="str">
        <f>"00025428"</f>
        <v>00025428</v>
      </c>
    </row>
    <row r="968" spans="1:11" ht="45" customHeight="1">
      <c r="A968" s="34"/>
      <c r="B968" s="58" t="s">
        <v>530</v>
      </c>
      <c r="C968" s="34"/>
      <c r="D968" s="34"/>
      <c r="E968" s="47">
        <f>SUM(E945:E967)</f>
        <v>1217425</v>
      </c>
      <c r="F968" s="34"/>
      <c r="G968" s="34"/>
      <c r="H968" s="34"/>
      <c r="I968" s="34"/>
      <c r="J968" s="34"/>
      <c r="K968" s="34"/>
    </row>
    <row r="969" spans="1:11" ht="45" customHeight="1">
      <c r="A969" s="34"/>
      <c r="B969" s="60" t="s">
        <v>537</v>
      </c>
      <c r="C969" s="34"/>
      <c r="D969" s="34"/>
      <c r="E969" s="47"/>
      <c r="F969" s="34"/>
      <c r="G969" s="34"/>
      <c r="H969" s="34"/>
      <c r="I969" s="34"/>
      <c r="J969" s="34"/>
      <c r="K969" s="34"/>
    </row>
    <row r="970" spans="1:11" ht="45" customHeight="1">
      <c r="A970" s="32">
        <v>105</v>
      </c>
      <c r="B970" s="45" t="s">
        <v>4531</v>
      </c>
      <c r="C970" s="65" t="s">
        <v>88</v>
      </c>
      <c r="D970" s="66"/>
      <c r="E970" s="59">
        <v>80202</v>
      </c>
      <c r="F970" s="67">
        <v>4</v>
      </c>
      <c r="G970" s="74" t="s">
        <v>4532</v>
      </c>
      <c r="H970" s="32" t="s">
        <v>4533</v>
      </c>
      <c r="I970" s="65" t="s">
        <v>104</v>
      </c>
      <c r="J970" s="65" t="s">
        <v>420</v>
      </c>
      <c r="K970" s="68" t="str">
        <f>"00027813"</f>
        <v>00027813</v>
      </c>
    </row>
    <row r="971" spans="1:11" ht="45" customHeight="1">
      <c r="A971" s="32">
        <v>105</v>
      </c>
      <c r="B971" s="51" t="s">
        <v>538</v>
      </c>
      <c r="C971" s="65" t="s">
        <v>88</v>
      </c>
      <c r="D971" s="66"/>
      <c r="E971" s="59">
        <v>91017</v>
      </c>
      <c r="F971" s="67">
        <v>4</v>
      </c>
      <c r="G971" s="74" t="s">
        <v>4534</v>
      </c>
      <c r="H971" s="32" t="s">
        <v>4535</v>
      </c>
      <c r="I971" s="69" t="s">
        <v>1814</v>
      </c>
      <c r="J971" s="69" t="s">
        <v>4536</v>
      </c>
      <c r="K971" s="68" t="str">
        <f>"00028396"</f>
        <v>00028396</v>
      </c>
    </row>
    <row r="972" spans="1:11" ht="45" customHeight="1">
      <c r="A972" s="32">
        <v>105</v>
      </c>
      <c r="B972" s="51" t="s">
        <v>538</v>
      </c>
      <c r="C972" s="65" t="s">
        <v>88</v>
      </c>
      <c r="D972" s="66"/>
      <c r="E972" s="59">
        <v>59027</v>
      </c>
      <c r="F972" s="67">
        <v>4</v>
      </c>
      <c r="G972" s="65" t="s">
        <v>4537</v>
      </c>
      <c r="H972" s="32" t="s">
        <v>4538</v>
      </c>
      <c r="I972" s="65" t="s">
        <v>120</v>
      </c>
      <c r="J972" s="65" t="s">
        <v>418</v>
      </c>
      <c r="K972" s="68" t="str">
        <f>"00028048"</f>
        <v>00028048</v>
      </c>
    </row>
    <row r="973" spans="1:11" ht="45" customHeight="1">
      <c r="A973" s="32">
        <v>105</v>
      </c>
      <c r="B973" s="51" t="s">
        <v>538</v>
      </c>
      <c r="C973" s="65" t="s">
        <v>88</v>
      </c>
      <c r="D973" s="66"/>
      <c r="E973" s="59">
        <v>90086</v>
      </c>
      <c r="F973" s="67">
        <v>4</v>
      </c>
      <c r="G973" s="65" t="s">
        <v>4539</v>
      </c>
      <c r="H973" s="32" t="s">
        <v>4540</v>
      </c>
      <c r="I973" s="69" t="s">
        <v>1814</v>
      </c>
      <c r="J973" s="69" t="s">
        <v>4631</v>
      </c>
      <c r="K973" s="68" t="str">
        <f>"00028398"</f>
        <v>00028398</v>
      </c>
    </row>
    <row r="974" spans="1:11" ht="45" customHeight="1">
      <c r="A974" s="32">
        <v>105</v>
      </c>
      <c r="B974" s="45" t="s">
        <v>4541</v>
      </c>
      <c r="C974" s="65" t="s">
        <v>88</v>
      </c>
      <c r="D974" s="66"/>
      <c r="E974" s="59">
        <v>100000</v>
      </c>
      <c r="F974" s="67">
        <v>4</v>
      </c>
      <c r="G974" s="65" t="s">
        <v>4542</v>
      </c>
      <c r="H974" s="32" t="s">
        <v>4543</v>
      </c>
      <c r="I974" s="65" t="s">
        <v>107</v>
      </c>
      <c r="J974" s="65" t="s">
        <v>4544</v>
      </c>
      <c r="K974" s="68" t="str">
        <f>"00027328"</f>
        <v>00027328</v>
      </c>
    </row>
    <row r="975" spans="1:11" ht="45" customHeight="1">
      <c r="A975" s="32">
        <v>105</v>
      </c>
      <c r="B975" s="45" t="s">
        <v>4531</v>
      </c>
      <c r="C975" s="65" t="s">
        <v>88</v>
      </c>
      <c r="D975" s="66"/>
      <c r="E975" s="59">
        <v>192234</v>
      </c>
      <c r="F975" s="67">
        <v>4</v>
      </c>
      <c r="G975" s="69" t="s">
        <v>4545</v>
      </c>
      <c r="H975" s="32" t="s">
        <v>4546</v>
      </c>
      <c r="I975" s="65" t="s">
        <v>1802</v>
      </c>
      <c r="J975" s="69" t="s">
        <v>4547</v>
      </c>
      <c r="K975" s="68" t="str">
        <f>"00027258"</f>
        <v>00027258</v>
      </c>
    </row>
    <row r="976" spans="1:11" ht="45" customHeight="1">
      <c r="A976" s="32">
        <v>105</v>
      </c>
      <c r="B976" s="45" t="s">
        <v>4531</v>
      </c>
      <c r="C976" s="65" t="s">
        <v>88</v>
      </c>
      <c r="D976" s="66"/>
      <c r="E976" s="59">
        <v>84257</v>
      </c>
      <c r="F976" s="67">
        <v>4</v>
      </c>
      <c r="G976" s="72" t="s">
        <v>4532</v>
      </c>
      <c r="H976" s="32" t="s">
        <v>4548</v>
      </c>
      <c r="I976" s="65" t="s">
        <v>104</v>
      </c>
      <c r="J976" s="65" t="s">
        <v>420</v>
      </c>
      <c r="K976" s="68" t="str">
        <f>"00027792"</f>
        <v>00027792</v>
      </c>
    </row>
    <row r="977" spans="1:11" ht="45" customHeight="1">
      <c r="A977" s="32">
        <v>105</v>
      </c>
      <c r="B977" s="45" t="s">
        <v>4531</v>
      </c>
      <c r="C977" s="65" t="s">
        <v>88</v>
      </c>
      <c r="D977" s="66"/>
      <c r="E977" s="59">
        <v>86800</v>
      </c>
      <c r="F977" s="67">
        <v>4</v>
      </c>
      <c r="G977" s="74" t="s">
        <v>4549</v>
      </c>
      <c r="H977" s="32" t="s">
        <v>4550</v>
      </c>
      <c r="I977" s="65" t="s">
        <v>222</v>
      </c>
      <c r="J977" s="65" t="s">
        <v>623</v>
      </c>
      <c r="K977" s="68" t="str">
        <f>"00027136"</f>
        <v>00027136</v>
      </c>
    </row>
    <row r="978" spans="1:11" ht="45" customHeight="1">
      <c r="A978" s="32">
        <v>105</v>
      </c>
      <c r="B978" s="45" t="s">
        <v>4551</v>
      </c>
      <c r="C978" s="65" t="s">
        <v>88</v>
      </c>
      <c r="D978" s="66"/>
      <c r="E978" s="59">
        <v>109139</v>
      </c>
      <c r="F978" s="67">
        <v>4</v>
      </c>
      <c r="G978" s="65" t="s">
        <v>4552</v>
      </c>
      <c r="H978" s="32" t="s">
        <v>4240</v>
      </c>
      <c r="I978" s="65" t="s">
        <v>150</v>
      </c>
      <c r="J978" s="65" t="s">
        <v>523</v>
      </c>
      <c r="K978" s="68" t="str">
        <f>"00028399"</f>
        <v>00028399</v>
      </c>
    </row>
    <row r="979" spans="1:11" ht="45" customHeight="1">
      <c r="A979" s="32">
        <v>105</v>
      </c>
      <c r="B979" s="45" t="s">
        <v>4553</v>
      </c>
      <c r="C979" s="65" t="s">
        <v>88</v>
      </c>
      <c r="D979" s="66"/>
      <c r="E979" s="59">
        <v>36692</v>
      </c>
      <c r="F979" s="67">
        <v>4</v>
      </c>
      <c r="G979" s="70" t="s">
        <v>4554</v>
      </c>
      <c r="H979" s="32" t="s">
        <v>4240</v>
      </c>
      <c r="I979" s="65" t="s">
        <v>150</v>
      </c>
      <c r="J979" s="65" t="s">
        <v>523</v>
      </c>
      <c r="K979" s="68" t="str">
        <f>"00028207"</f>
        <v>00028207</v>
      </c>
    </row>
    <row r="980" spans="1:11" ht="45" customHeight="1">
      <c r="A980" s="32">
        <v>105</v>
      </c>
      <c r="B980" s="51" t="s">
        <v>4555</v>
      </c>
      <c r="C980" s="65" t="s">
        <v>88</v>
      </c>
      <c r="D980" s="66"/>
      <c r="E980" s="59">
        <v>98196</v>
      </c>
      <c r="F980" s="67">
        <v>4</v>
      </c>
      <c r="G980" s="65" t="s">
        <v>4556</v>
      </c>
      <c r="H980" s="32" t="s">
        <v>4557</v>
      </c>
      <c r="I980" s="65" t="s">
        <v>165</v>
      </c>
      <c r="J980" s="65" t="s">
        <v>4558</v>
      </c>
      <c r="K980" s="68" t="str">
        <f>"00027962"</f>
        <v>00027962</v>
      </c>
    </row>
    <row r="981" spans="1:11" ht="45" customHeight="1">
      <c r="A981" s="32">
        <v>105</v>
      </c>
      <c r="B981" s="51" t="s">
        <v>4559</v>
      </c>
      <c r="C981" s="65" t="s">
        <v>88</v>
      </c>
      <c r="D981" s="66"/>
      <c r="E981" s="59">
        <v>62650</v>
      </c>
      <c r="F981" s="67">
        <v>4</v>
      </c>
      <c r="G981" s="65" t="s">
        <v>4560</v>
      </c>
      <c r="H981" s="32" t="s">
        <v>4243</v>
      </c>
      <c r="I981" s="65" t="s">
        <v>92</v>
      </c>
      <c r="J981" s="65" t="s">
        <v>4228</v>
      </c>
      <c r="K981" s="68" t="str">
        <f>"00028555"</f>
        <v>00028555</v>
      </c>
    </row>
    <row r="982" spans="1:11" ht="45" customHeight="1">
      <c r="A982" s="32">
        <v>105</v>
      </c>
      <c r="B982" s="51" t="s">
        <v>4559</v>
      </c>
      <c r="C982" s="65" t="s">
        <v>88</v>
      </c>
      <c r="D982" s="66"/>
      <c r="E982" s="59">
        <v>95426</v>
      </c>
      <c r="F982" s="67">
        <v>4</v>
      </c>
      <c r="G982" s="65" t="s">
        <v>4561</v>
      </c>
      <c r="H982" s="32" t="s">
        <v>4243</v>
      </c>
      <c r="I982" s="65" t="s">
        <v>92</v>
      </c>
      <c r="J982" s="65" t="s">
        <v>4228</v>
      </c>
      <c r="K982" s="68" t="str">
        <f>"00029007"</f>
        <v>00029007</v>
      </c>
    </row>
    <row r="983" spans="1:11" ht="45" customHeight="1">
      <c r="A983" s="32">
        <v>105</v>
      </c>
      <c r="B983" s="51" t="s">
        <v>538</v>
      </c>
      <c r="C983" s="65" t="s">
        <v>88</v>
      </c>
      <c r="D983" s="66"/>
      <c r="E983" s="59">
        <v>89927</v>
      </c>
      <c r="F983" s="67">
        <v>4</v>
      </c>
      <c r="G983" s="79" t="s">
        <v>4562</v>
      </c>
      <c r="H983" s="32" t="s">
        <v>4563</v>
      </c>
      <c r="I983" s="65" t="s">
        <v>107</v>
      </c>
      <c r="J983" s="65" t="s">
        <v>4564</v>
      </c>
      <c r="K983" s="68" t="str">
        <f>"00029546"</f>
        <v>00029546</v>
      </c>
    </row>
    <row r="984" spans="1:11" ht="45" customHeight="1">
      <c r="A984" s="32">
        <v>105</v>
      </c>
      <c r="B984" s="45" t="s">
        <v>4565</v>
      </c>
      <c r="C984" s="65" t="s">
        <v>88</v>
      </c>
      <c r="D984" s="66"/>
      <c r="E984" s="59">
        <v>89957</v>
      </c>
      <c r="F984" s="67">
        <v>4</v>
      </c>
      <c r="G984" s="72" t="s">
        <v>547</v>
      </c>
      <c r="H984" s="32" t="s">
        <v>4563</v>
      </c>
      <c r="I984" s="65" t="s">
        <v>107</v>
      </c>
      <c r="J984" s="65" t="s">
        <v>548</v>
      </c>
      <c r="K984" s="68" t="str">
        <f>"00029588"</f>
        <v>00029588</v>
      </c>
    </row>
    <row r="985" spans="1:11" ht="45" customHeight="1">
      <c r="A985" s="32">
        <v>105</v>
      </c>
      <c r="B985" s="51" t="s">
        <v>538</v>
      </c>
      <c r="C985" s="65" t="s">
        <v>88</v>
      </c>
      <c r="D985" s="66"/>
      <c r="E985" s="59">
        <v>22800</v>
      </c>
      <c r="F985" s="67">
        <v>4</v>
      </c>
      <c r="G985" s="70" t="s">
        <v>4566</v>
      </c>
      <c r="H985" s="32" t="s">
        <v>4567</v>
      </c>
      <c r="I985" s="65" t="s">
        <v>102</v>
      </c>
      <c r="J985" s="65" t="s">
        <v>4568</v>
      </c>
      <c r="K985" s="68" t="str">
        <f>"00029682"</f>
        <v>00029682</v>
      </c>
    </row>
    <row r="986" spans="1:11" ht="45" customHeight="1">
      <c r="A986" s="32">
        <v>105</v>
      </c>
      <c r="B986" s="51" t="s">
        <v>538</v>
      </c>
      <c r="C986" s="65" t="s">
        <v>88</v>
      </c>
      <c r="D986" s="66"/>
      <c r="E986" s="59">
        <v>141039</v>
      </c>
      <c r="F986" s="67">
        <v>4</v>
      </c>
      <c r="G986" s="65" t="s">
        <v>4569</v>
      </c>
      <c r="H986" s="32" t="s">
        <v>4570</v>
      </c>
      <c r="I986" s="65" t="s">
        <v>104</v>
      </c>
      <c r="J986" s="65" t="s">
        <v>4571</v>
      </c>
      <c r="K986" s="68" t="str">
        <f>"00030154"</f>
        <v>00030154</v>
      </c>
    </row>
    <row r="987" spans="1:11" ht="45" customHeight="1">
      <c r="A987" s="32">
        <v>105</v>
      </c>
      <c r="B987" s="45" t="s">
        <v>542</v>
      </c>
      <c r="C987" s="65" t="s">
        <v>88</v>
      </c>
      <c r="D987" s="66"/>
      <c r="E987" s="59">
        <v>97348</v>
      </c>
      <c r="F987" s="67">
        <v>4</v>
      </c>
      <c r="G987" s="65" t="s">
        <v>4572</v>
      </c>
      <c r="H987" s="32" t="s">
        <v>4573</v>
      </c>
      <c r="I987" s="65" t="s">
        <v>150</v>
      </c>
      <c r="J987" s="65" t="s">
        <v>523</v>
      </c>
      <c r="K987" s="68" t="str">
        <f>"00028220"</f>
        <v>00028220</v>
      </c>
    </row>
    <row r="988" spans="1:11" ht="45" customHeight="1">
      <c r="A988" s="32">
        <v>105</v>
      </c>
      <c r="B988" s="51" t="s">
        <v>538</v>
      </c>
      <c r="C988" s="65" t="s">
        <v>88</v>
      </c>
      <c r="D988" s="66"/>
      <c r="E988" s="59">
        <v>76969</v>
      </c>
      <c r="F988" s="67">
        <v>4</v>
      </c>
      <c r="G988" s="72" t="s">
        <v>4574</v>
      </c>
      <c r="H988" s="32" t="s">
        <v>3603</v>
      </c>
      <c r="I988" s="65" t="s">
        <v>107</v>
      </c>
      <c r="J988" s="65" t="s">
        <v>539</v>
      </c>
      <c r="K988" s="68" t="str">
        <f>"00029575"</f>
        <v>00029575</v>
      </c>
    </row>
    <row r="989" spans="1:11" ht="45" customHeight="1">
      <c r="A989" s="32">
        <v>105</v>
      </c>
      <c r="B989" s="45" t="s">
        <v>4575</v>
      </c>
      <c r="C989" s="65" t="s">
        <v>88</v>
      </c>
      <c r="D989" s="66"/>
      <c r="E989" s="59">
        <v>124744</v>
      </c>
      <c r="F989" s="67">
        <v>4</v>
      </c>
      <c r="G989" s="69" t="s">
        <v>4576</v>
      </c>
      <c r="H989" s="32" t="s">
        <v>4577</v>
      </c>
      <c r="I989" s="65" t="s">
        <v>107</v>
      </c>
      <c r="J989" s="65" t="s">
        <v>544</v>
      </c>
      <c r="K989" s="68" t="str">
        <f>"00032510"</f>
        <v>00032510</v>
      </c>
    </row>
    <row r="990" spans="1:11" ht="45" customHeight="1">
      <c r="A990" s="32">
        <v>105</v>
      </c>
      <c r="B990" s="45" t="s">
        <v>4578</v>
      </c>
      <c r="C990" s="65" t="s">
        <v>88</v>
      </c>
      <c r="D990" s="66"/>
      <c r="E990" s="59">
        <v>120000</v>
      </c>
      <c r="F990" s="67">
        <v>4</v>
      </c>
      <c r="G990" s="65" t="s">
        <v>4579</v>
      </c>
      <c r="H990" s="32" t="s">
        <v>4580</v>
      </c>
      <c r="I990" s="65" t="s">
        <v>104</v>
      </c>
      <c r="J990" s="65" t="s">
        <v>4571</v>
      </c>
      <c r="K990" s="68" t="str">
        <f>"00027700"</f>
        <v>00027700</v>
      </c>
    </row>
    <row r="991" spans="1:11" ht="45" customHeight="1">
      <c r="A991" s="32">
        <v>105</v>
      </c>
      <c r="B991" s="45" t="s">
        <v>4565</v>
      </c>
      <c r="C991" s="65" t="s">
        <v>88</v>
      </c>
      <c r="D991" s="66"/>
      <c r="E991" s="59">
        <v>15588</v>
      </c>
      <c r="F991" s="67">
        <v>4</v>
      </c>
      <c r="G991" s="74" t="s">
        <v>4581</v>
      </c>
      <c r="H991" s="32" t="s">
        <v>4582</v>
      </c>
      <c r="I991" s="65" t="s">
        <v>180</v>
      </c>
      <c r="J991" s="65" t="s">
        <v>4583</v>
      </c>
      <c r="K991" s="78" t="s">
        <v>6125</v>
      </c>
    </row>
    <row r="992" spans="1:11" ht="45" customHeight="1">
      <c r="A992" s="32">
        <v>105</v>
      </c>
      <c r="B992" s="51" t="s">
        <v>538</v>
      </c>
      <c r="C992" s="65" t="s">
        <v>88</v>
      </c>
      <c r="D992" s="66"/>
      <c r="E992" s="59">
        <v>59566</v>
      </c>
      <c r="F992" s="67">
        <v>4</v>
      </c>
      <c r="G992" s="74" t="s">
        <v>4584</v>
      </c>
      <c r="H992" s="32" t="s">
        <v>4585</v>
      </c>
      <c r="I992" s="65" t="s">
        <v>107</v>
      </c>
      <c r="J992" s="65" t="s">
        <v>4586</v>
      </c>
      <c r="K992" s="68" t="str">
        <f>"00029310"</f>
        <v>00029310</v>
      </c>
    </row>
    <row r="993" spans="1:11" ht="45" customHeight="1">
      <c r="A993" s="32">
        <v>105</v>
      </c>
      <c r="B993" s="45" t="s">
        <v>4587</v>
      </c>
      <c r="C993" s="65" t="s">
        <v>88</v>
      </c>
      <c r="D993" s="66"/>
      <c r="E993" s="59">
        <v>60000</v>
      </c>
      <c r="F993" s="67">
        <v>4</v>
      </c>
      <c r="G993" s="65" t="s">
        <v>4588</v>
      </c>
      <c r="H993" s="32" t="s">
        <v>4589</v>
      </c>
      <c r="I993" s="65" t="s">
        <v>107</v>
      </c>
      <c r="J993" s="65" t="s">
        <v>4590</v>
      </c>
      <c r="K993" s="68" t="str">
        <f>"00031715"</f>
        <v>00031715</v>
      </c>
    </row>
    <row r="994" spans="1:11" ht="45" customHeight="1">
      <c r="A994" s="32">
        <v>105</v>
      </c>
      <c r="B994" s="45" t="s">
        <v>4587</v>
      </c>
      <c r="C994" s="65" t="s">
        <v>88</v>
      </c>
      <c r="D994" s="66"/>
      <c r="E994" s="59">
        <v>13312</v>
      </c>
      <c r="F994" s="67">
        <v>4</v>
      </c>
      <c r="G994" s="65" t="s">
        <v>4591</v>
      </c>
      <c r="H994" s="32" t="s">
        <v>4592</v>
      </c>
      <c r="I994" s="65" t="s">
        <v>116</v>
      </c>
      <c r="J994" s="65" t="s">
        <v>4268</v>
      </c>
      <c r="K994" s="68" t="str">
        <f>"00031128"</f>
        <v>00031128</v>
      </c>
    </row>
    <row r="995" spans="1:11" ht="45" customHeight="1">
      <c r="A995" s="32">
        <v>105</v>
      </c>
      <c r="B995" s="45" t="s">
        <v>4587</v>
      </c>
      <c r="C995" s="65" t="s">
        <v>88</v>
      </c>
      <c r="D995" s="66"/>
      <c r="E995" s="59">
        <v>9588</v>
      </c>
      <c r="F995" s="67">
        <v>4</v>
      </c>
      <c r="G995" s="69" t="s">
        <v>4593</v>
      </c>
      <c r="H995" s="32" t="s">
        <v>4594</v>
      </c>
      <c r="I995" s="65" t="s">
        <v>116</v>
      </c>
      <c r="J995" s="65" t="s">
        <v>4268</v>
      </c>
      <c r="K995" s="68" t="str">
        <f>"00031100"</f>
        <v>00031100</v>
      </c>
    </row>
    <row r="996" spans="1:11" ht="45" customHeight="1">
      <c r="A996" s="32">
        <v>105</v>
      </c>
      <c r="B996" s="45" t="s">
        <v>4595</v>
      </c>
      <c r="C996" s="65" t="s">
        <v>88</v>
      </c>
      <c r="D996" s="66"/>
      <c r="E996" s="59">
        <v>39358</v>
      </c>
      <c r="F996" s="67">
        <v>4</v>
      </c>
      <c r="G996" s="65" t="s">
        <v>4596</v>
      </c>
      <c r="H996" s="32" t="s">
        <v>4597</v>
      </c>
      <c r="I996" s="65" t="s">
        <v>107</v>
      </c>
      <c r="J996" s="65" t="s">
        <v>544</v>
      </c>
      <c r="K996" s="68" t="str">
        <f>"00032949"</f>
        <v>00032949</v>
      </c>
    </row>
    <row r="997" spans="1:11" ht="45" customHeight="1">
      <c r="A997" s="32">
        <v>105</v>
      </c>
      <c r="B997" s="45" t="s">
        <v>4587</v>
      </c>
      <c r="C997" s="65" t="s">
        <v>88</v>
      </c>
      <c r="D997" s="66"/>
      <c r="E997" s="59">
        <v>23768</v>
      </c>
      <c r="F997" s="67">
        <v>4</v>
      </c>
      <c r="G997" s="65" t="s">
        <v>4598</v>
      </c>
      <c r="H997" s="32" t="s">
        <v>4597</v>
      </c>
      <c r="I997" s="65" t="s">
        <v>107</v>
      </c>
      <c r="J997" s="65" t="s">
        <v>544</v>
      </c>
      <c r="K997" s="68" t="str">
        <f>"00032503"</f>
        <v>00032503</v>
      </c>
    </row>
    <row r="998" spans="1:11" ht="45" customHeight="1">
      <c r="A998" s="32">
        <v>105</v>
      </c>
      <c r="B998" s="45" t="s">
        <v>4599</v>
      </c>
      <c r="C998" s="65" t="s">
        <v>88</v>
      </c>
      <c r="D998" s="66"/>
      <c r="E998" s="59">
        <v>38898</v>
      </c>
      <c r="F998" s="67">
        <v>4</v>
      </c>
      <c r="G998" s="65" t="s">
        <v>4600</v>
      </c>
      <c r="H998" s="32" t="s">
        <v>4577</v>
      </c>
      <c r="I998" s="65" t="s">
        <v>107</v>
      </c>
      <c r="J998" s="65" t="s">
        <v>544</v>
      </c>
      <c r="K998" s="68" t="str">
        <f>"00032860"</f>
        <v>00032860</v>
      </c>
    </row>
    <row r="999" spans="1:11" ht="45" customHeight="1">
      <c r="A999" s="32">
        <v>105</v>
      </c>
      <c r="B999" s="45" t="s">
        <v>4601</v>
      </c>
      <c r="C999" s="65" t="s">
        <v>88</v>
      </c>
      <c r="D999" s="66"/>
      <c r="E999" s="59">
        <v>20988</v>
      </c>
      <c r="F999" s="67">
        <v>4</v>
      </c>
      <c r="G999" s="65" t="s">
        <v>4602</v>
      </c>
      <c r="H999" s="32" t="s">
        <v>4603</v>
      </c>
      <c r="I999" s="65" t="s">
        <v>107</v>
      </c>
      <c r="J999" s="70" t="s">
        <v>4604</v>
      </c>
      <c r="K999" s="68" t="s">
        <v>5093</v>
      </c>
    </row>
    <row r="1000" spans="1:11" ht="45" customHeight="1">
      <c r="A1000" s="32">
        <v>105</v>
      </c>
      <c r="B1000" s="45" t="s">
        <v>4605</v>
      </c>
      <c r="C1000" s="65" t="s">
        <v>88</v>
      </c>
      <c r="D1000" s="66"/>
      <c r="E1000" s="59">
        <v>42544</v>
      </c>
      <c r="F1000" s="67">
        <v>4</v>
      </c>
      <c r="G1000" s="69" t="s">
        <v>4606</v>
      </c>
      <c r="H1000" s="32" t="s">
        <v>4577</v>
      </c>
      <c r="I1000" s="65" t="s">
        <v>107</v>
      </c>
      <c r="J1000" s="65" t="s">
        <v>544</v>
      </c>
      <c r="K1000" s="68" t="str">
        <f>"00032964"</f>
        <v>00032964</v>
      </c>
    </row>
    <row r="1001" spans="1:11" ht="45" customHeight="1">
      <c r="A1001" s="32">
        <v>105</v>
      </c>
      <c r="B1001" s="45" t="s">
        <v>4607</v>
      </c>
      <c r="C1001" s="65" t="s">
        <v>88</v>
      </c>
      <c r="D1001" s="66"/>
      <c r="E1001" s="59">
        <v>60000</v>
      </c>
      <c r="F1001" s="67">
        <v>4</v>
      </c>
      <c r="G1001" s="65" t="s">
        <v>4607</v>
      </c>
      <c r="H1001" s="32" t="s">
        <v>4608</v>
      </c>
      <c r="I1001" s="65" t="s">
        <v>107</v>
      </c>
      <c r="J1001" s="65" t="s">
        <v>544</v>
      </c>
      <c r="K1001" s="68" t="str">
        <f>"00032904"</f>
        <v>00032904</v>
      </c>
    </row>
    <row r="1002" spans="1:11" ht="45" customHeight="1">
      <c r="A1002" s="32">
        <v>105</v>
      </c>
      <c r="B1002" s="45" t="s">
        <v>4609</v>
      </c>
      <c r="C1002" s="65" t="s">
        <v>88</v>
      </c>
      <c r="D1002" s="66"/>
      <c r="E1002" s="59">
        <v>70000</v>
      </c>
      <c r="F1002" s="67">
        <v>4</v>
      </c>
      <c r="G1002" s="69" t="s">
        <v>4610</v>
      </c>
      <c r="H1002" s="32" t="s">
        <v>4611</v>
      </c>
      <c r="I1002" s="65" t="s">
        <v>107</v>
      </c>
      <c r="J1002" s="65" t="s">
        <v>544</v>
      </c>
      <c r="K1002" s="68" t="str">
        <f>"00032933"</f>
        <v>00032933</v>
      </c>
    </row>
    <row r="1003" spans="1:11" ht="45" customHeight="1">
      <c r="A1003" s="32">
        <v>105</v>
      </c>
      <c r="B1003" s="45" t="s">
        <v>4612</v>
      </c>
      <c r="C1003" s="65" t="s">
        <v>88</v>
      </c>
      <c r="D1003" s="66"/>
      <c r="E1003" s="59">
        <v>70000</v>
      </c>
      <c r="F1003" s="67">
        <v>4</v>
      </c>
      <c r="G1003" s="65" t="s">
        <v>4613</v>
      </c>
      <c r="H1003" s="32" t="s">
        <v>4614</v>
      </c>
      <c r="I1003" s="65" t="s">
        <v>107</v>
      </c>
      <c r="J1003" s="65" t="s">
        <v>544</v>
      </c>
      <c r="K1003" s="68" t="str">
        <f>"00032986"</f>
        <v>00032986</v>
      </c>
    </row>
    <row r="1004" spans="1:11" ht="45" customHeight="1">
      <c r="A1004" s="32">
        <v>105</v>
      </c>
      <c r="B1004" s="45" t="s">
        <v>4615</v>
      </c>
      <c r="C1004" s="65" t="s">
        <v>88</v>
      </c>
      <c r="D1004" s="66"/>
      <c r="E1004" s="59">
        <v>65000</v>
      </c>
      <c r="F1004" s="67">
        <v>4</v>
      </c>
      <c r="G1004" s="65" t="s">
        <v>4616</v>
      </c>
      <c r="H1004" s="32" t="s">
        <v>4617</v>
      </c>
      <c r="I1004" s="65" t="s">
        <v>107</v>
      </c>
      <c r="J1004" s="65" t="s">
        <v>544</v>
      </c>
      <c r="K1004" s="68" t="str">
        <f>"00032926"</f>
        <v>00032926</v>
      </c>
    </row>
    <row r="1005" spans="1:11" ht="45" customHeight="1">
      <c r="A1005" s="32">
        <v>105</v>
      </c>
      <c r="B1005" s="45" t="s">
        <v>4618</v>
      </c>
      <c r="C1005" s="65" t="s">
        <v>88</v>
      </c>
      <c r="D1005" s="66"/>
      <c r="E1005" s="59">
        <v>80000</v>
      </c>
      <c r="F1005" s="67">
        <v>4</v>
      </c>
      <c r="G1005" s="65" t="s">
        <v>4618</v>
      </c>
      <c r="H1005" s="32" t="s">
        <v>4619</v>
      </c>
      <c r="I1005" s="65" t="s">
        <v>107</v>
      </c>
      <c r="J1005" s="69" t="s">
        <v>4620</v>
      </c>
      <c r="K1005" s="68" t="str">
        <f>"00025947"</f>
        <v>00025947</v>
      </c>
    </row>
    <row r="1006" spans="1:11" ht="45" customHeight="1">
      <c r="A1006" s="32">
        <v>105</v>
      </c>
      <c r="B1006" s="45" t="s">
        <v>4621</v>
      </c>
      <c r="C1006" s="65" t="s">
        <v>88</v>
      </c>
      <c r="D1006" s="66"/>
      <c r="E1006" s="59">
        <v>60000</v>
      </c>
      <c r="F1006" s="67">
        <v>4</v>
      </c>
      <c r="G1006" s="65" t="s">
        <v>4621</v>
      </c>
      <c r="H1006" s="32" t="s">
        <v>4622</v>
      </c>
      <c r="I1006" s="65" t="s">
        <v>107</v>
      </c>
      <c r="J1006" s="69" t="s">
        <v>4623</v>
      </c>
      <c r="K1006" s="68" t="str">
        <f>"00026952"</f>
        <v>00026952</v>
      </c>
    </row>
    <row r="1007" spans="1:11" ht="45" customHeight="1">
      <c r="A1007" s="32">
        <v>105</v>
      </c>
      <c r="B1007" s="45" t="s">
        <v>4624</v>
      </c>
      <c r="C1007" s="65" t="s">
        <v>88</v>
      </c>
      <c r="D1007" s="66"/>
      <c r="E1007" s="59">
        <v>73790</v>
      </c>
      <c r="F1007" s="67">
        <v>4</v>
      </c>
      <c r="G1007" s="69" t="s">
        <v>4625</v>
      </c>
      <c r="H1007" s="32" t="s">
        <v>4626</v>
      </c>
      <c r="I1007" s="65" t="s">
        <v>107</v>
      </c>
      <c r="J1007" s="65" t="s">
        <v>4627</v>
      </c>
      <c r="K1007" s="63" t="s">
        <v>4641</v>
      </c>
    </row>
    <row r="1008" spans="1:11" ht="45" customHeight="1">
      <c r="A1008" s="32">
        <v>105</v>
      </c>
      <c r="B1008" s="45" t="s">
        <v>4628</v>
      </c>
      <c r="C1008" s="65" t="s">
        <v>88</v>
      </c>
      <c r="D1008" s="66"/>
      <c r="E1008" s="59">
        <v>80000</v>
      </c>
      <c r="F1008" s="67">
        <v>4</v>
      </c>
      <c r="G1008" s="65" t="s">
        <v>4628</v>
      </c>
      <c r="H1008" s="32" t="s">
        <v>4629</v>
      </c>
      <c r="I1008" s="65" t="s">
        <v>107</v>
      </c>
      <c r="J1008" s="65" t="s">
        <v>4630</v>
      </c>
      <c r="K1008" s="68" t="str">
        <f>"00027430"</f>
        <v>00027430</v>
      </c>
    </row>
    <row r="1009" spans="1:11" ht="45" customHeight="1">
      <c r="A1009" s="32">
        <v>105</v>
      </c>
      <c r="B1009" s="45" t="s">
        <v>4632</v>
      </c>
      <c r="C1009" s="65" t="s">
        <v>88</v>
      </c>
      <c r="D1009" s="66"/>
      <c r="E1009" s="59">
        <v>40043</v>
      </c>
      <c r="F1009" s="67">
        <v>4</v>
      </c>
      <c r="G1009" s="65" t="s">
        <v>4633</v>
      </c>
      <c r="H1009" s="32" t="s">
        <v>4634</v>
      </c>
      <c r="I1009" s="65" t="s">
        <v>116</v>
      </c>
      <c r="J1009" s="65" t="s">
        <v>4635</v>
      </c>
      <c r="K1009" s="68" t="str">
        <f>"00030772"</f>
        <v>00030772</v>
      </c>
    </row>
    <row r="1010" spans="1:11" ht="45" customHeight="1">
      <c r="A1010" s="32">
        <v>105</v>
      </c>
      <c r="B1010" s="45" t="s">
        <v>4601</v>
      </c>
      <c r="C1010" s="65" t="s">
        <v>88</v>
      </c>
      <c r="D1010" s="66"/>
      <c r="E1010" s="59">
        <v>11592</v>
      </c>
      <c r="F1010" s="67">
        <v>4</v>
      </c>
      <c r="G1010" s="65" t="s">
        <v>4602</v>
      </c>
      <c r="H1010" s="32" t="s">
        <v>4603</v>
      </c>
      <c r="I1010" s="65" t="s">
        <v>107</v>
      </c>
      <c r="J1010" s="70" t="s">
        <v>4604</v>
      </c>
      <c r="K1010" s="68" t="s">
        <v>6126</v>
      </c>
    </row>
    <row r="1011" spans="1:11" ht="45" customHeight="1">
      <c r="A1011" s="31"/>
      <c r="B1011" s="58" t="s">
        <v>536</v>
      </c>
      <c r="C1011" s="31"/>
      <c r="D1011" s="31"/>
      <c r="E1011" s="47">
        <f>SUM(E970:E1010)</f>
        <v>2882545</v>
      </c>
      <c r="F1011" s="31"/>
      <c r="G1011" s="31"/>
      <c r="H1011" s="31"/>
      <c r="I1011" s="31"/>
      <c r="J1011" s="31"/>
      <c r="K1011" s="31"/>
    </row>
    <row r="1012" spans="1:11" ht="45" customHeight="1">
      <c r="A1012" s="31"/>
      <c r="B1012" s="60" t="s">
        <v>556</v>
      </c>
      <c r="C1012" s="31"/>
      <c r="D1012" s="31"/>
      <c r="E1012" s="47"/>
      <c r="F1012" s="31"/>
      <c r="G1012" s="31"/>
      <c r="H1012" s="31"/>
      <c r="I1012" s="31"/>
      <c r="J1012" s="31"/>
      <c r="K1012" s="31"/>
    </row>
    <row r="1013" spans="1:11" ht="45" customHeight="1">
      <c r="A1013" s="32">
        <v>105</v>
      </c>
      <c r="B1013" s="45" t="s">
        <v>4827</v>
      </c>
      <c r="C1013" s="65" t="s">
        <v>88</v>
      </c>
      <c r="D1013" s="66"/>
      <c r="E1013" s="59">
        <v>46631</v>
      </c>
      <c r="F1013" s="67">
        <v>4</v>
      </c>
      <c r="G1013" s="72" t="s">
        <v>4828</v>
      </c>
      <c r="H1013" s="32" t="s">
        <v>4829</v>
      </c>
      <c r="I1013" s="65" t="s">
        <v>92</v>
      </c>
      <c r="J1013" s="65" t="s">
        <v>4830</v>
      </c>
      <c r="K1013" s="68" t="str">
        <f>"00026858"</f>
        <v>00026858</v>
      </c>
    </row>
    <row r="1014" spans="1:11" ht="45" customHeight="1">
      <c r="A1014" s="32">
        <v>105</v>
      </c>
      <c r="B1014" s="45" t="s">
        <v>4827</v>
      </c>
      <c r="C1014" s="65" t="s">
        <v>88</v>
      </c>
      <c r="D1014" s="66"/>
      <c r="E1014" s="59">
        <v>47005</v>
      </c>
      <c r="F1014" s="67">
        <v>4</v>
      </c>
      <c r="G1014" s="72" t="s">
        <v>4828</v>
      </c>
      <c r="H1014" s="32" t="s">
        <v>4831</v>
      </c>
      <c r="I1014" s="65" t="s">
        <v>92</v>
      </c>
      <c r="J1014" s="65" t="s">
        <v>4830</v>
      </c>
      <c r="K1014" s="68" t="str">
        <f>"00027747"</f>
        <v>00027747</v>
      </c>
    </row>
    <row r="1015" spans="1:11" ht="45" customHeight="1">
      <c r="A1015" s="32">
        <v>105</v>
      </c>
      <c r="B1015" s="45" t="s">
        <v>4832</v>
      </c>
      <c r="C1015" s="65" t="s">
        <v>88</v>
      </c>
      <c r="D1015" s="66"/>
      <c r="E1015" s="59">
        <v>127435</v>
      </c>
      <c r="F1015" s="67">
        <v>4</v>
      </c>
      <c r="G1015" s="65" t="s">
        <v>4833</v>
      </c>
      <c r="H1015" s="32" t="s">
        <v>4834</v>
      </c>
      <c r="I1015" s="65" t="s">
        <v>434</v>
      </c>
      <c r="J1015" s="65" t="s">
        <v>4835</v>
      </c>
      <c r="K1015" s="68" t="str">
        <f>"00028314"</f>
        <v>00028314</v>
      </c>
    </row>
    <row r="1016" spans="1:11" ht="45" customHeight="1">
      <c r="A1016" s="32">
        <v>105</v>
      </c>
      <c r="B1016" s="49" t="s">
        <v>4836</v>
      </c>
      <c r="C1016" s="65" t="s">
        <v>88</v>
      </c>
      <c r="D1016" s="66"/>
      <c r="E1016" s="59">
        <v>52653</v>
      </c>
      <c r="F1016" s="67">
        <v>4</v>
      </c>
      <c r="G1016" s="65" t="s">
        <v>4837</v>
      </c>
      <c r="H1016" s="32" t="s">
        <v>4838</v>
      </c>
      <c r="I1016" s="65" t="s">
        <v>107</v>
      </c>
      <c r="J1016" s="65" t="s">
        <v>501</v>
      </c>
      <c r="K1016" s="68" t="str">
        <f>"00028970"</f>
        <v>00028970</v>
      </c>
    </row>
    <row r="1017" spans="1:11" ht="45" customHeight="1">
      <c r="A1017" s="32">
        <v>105</v>
      </c>
      <c r="B1017" s="45" t="s">
        <v>4839</v>
      </c>
      <c r="C1017" s="65" t="s">
        <v>88</v>
      </c>
      <c r="D1017" s="66"/>
      <c r="E1017" s="59">
        <v>114216</v>
      </c>
      <c r="F1017" s="67">
        <v>4</v>
      </c>
      <c r="G1017" s="74" t="s">
        <v>4840</v>
      </c>
      <c r="H1017" s="32" t="s">
        <v>4841</v>
      </c>
      <c r="I1017" s="65" t="s">
        <v>107</v>
      </c>
      <c r="J1017" s="65" t="s">
        <v>501</v>
      </c>
      <c r="K1017" s="68" t="str">
        <f>"00028423"</f>
        <v>00028423</v>
      </c>
    </row>
    <row r="1018" spans="1:11" ht="45" customHeight="1">
      <c r="A1018" s="32">
        <v>105</v>
      </c>
      <c r="B1018" s="45" t="s">
        <v>4842</v>
      </c>
      <c r="C1018" s="65" t="s">
        <v>88</v>
      </c>
      <c r="D1018" s="66"/>
      <c r="E1018" s="59">
        <v>57534</v>
      </c>
      <c r="F1018" s="67">
        <v>4</v>
      </c>
      <c r="G1018" s="71" t="s">
        <v>4843</v>
      </c>
      <c r="H1018" s="32" t="s">
        <v>4844</v>
      </c>
      <c r="I1018" s="65" t="s">
        <v>1824</v>
      </c>
      <c r="J1018" s="69" t="s">
        <v>4845</v>
      </c>
      <c r="K1018" s="68" t="str">
        <f>"00029058"</f>
        <v>00029058</v>
      </c>
    </row>
    <row r="1019" spans="1:11" ht="45" customHeight="1">
      <c r="A1019" s="32">
        <v>105</v>
      </c>
      <c r="B1019" s="45" t="s">
        <v>4827</v>
      </c>
      <c r="C1019" s="65" t="s">
        <v>88</v>
      </c>
      <c r="D1019" s="66"/>
      <c r="E1019" s="59">
        <v>46620</v>
      </c>
      <c r="F1019" s="67">
        <v>4</v>
      </c>
      <c r="G1019" s="65" t="s">
        <v>4846</v>
      </c>
      <c r="H1019" s="32" t="s">
        <v>4831</v>
      </c>
      <c r="I1019" s="65" t="s">
        <v>92</v>
      </c>
      <c r="J1019" s="65" t="s">
        <v>4830</v>
      </c>
      <c r="K1019" s="68" t="str">
        <f>"00026458"</f>
        <v>00026458</v>
      </c>
    </row>
    <row r="1020" spans="1:11" ht="45" customHeight="1">
      <c r="A1020" s="32">
        <v>105</v>
      </c>
      <c r="B1020" s="45" t="s">
        <v>4847</v>
      </c>
      <c r="C1020" s="65" t="s">
        <v>88</v>
      </c>
      <c r="D1020" s="66"/>
      <c r="E1020" s="59">
        <v>42000</v>
      </c>
      <c r="F1020" s="67">
        <v>4</v>
      </c>
      <c r="G1020" s="79" t="s">
        <v>4848</v>
      </c>
      <c r="H1020" s="32" t="s">
        <v>4838</v>
      </c>
      <c r="I1020" s="65" t="s">
        <v>107</v>
      </c>
      <c r="J1020" s="65" t="s">
        <v>501</v>
      </c>
      <c r="K1020" s="73" t="s">
        <v>4881</v>
      </c>
    </row>
    <row r="1021" spans="1:11" ht="45" customHeight="1">
      <c r="A1021" s="32">
        <v>105</v>
      </c>
      <c r="B1021" s="45" t="s">
        <v>4849</v>
      </c>
      <c r="C1021" s="65" t="s">
        <v>88</v>
      </c>
      <c r="D1021" s="66"/>
      <c r="E1021" s="59">
        <v>114740</v>
      </c>
      <c r="F1021" s="67">
        <v>4</v>
      </c>
      <c r="G1021" s="74" t="s">
        <v>4850</v>
      </c>
      <c r="H1021" s="32" t="s">
        <v>4851</v>
      </c>
      <c r="I1021" s="65" t="s">
        <v>409</v>
      </c>
      <c r="J1021" s="72" t="s">
        <v>4852</v>
      </c>
      <c r="K1021" s="68" t="str">
        <f>"00029596"</f>
        <v>00029596</v>
      </c>
    </row>
    <row r="1022" spans="1:11" ht="45" customHeight="1">
      <c r="A1022" s="32">
        <v>105</v>
      </c>
      <c r="B1022" s="45" t="s">
        <v>4853</v>
      </c>
      <c r="C1022" s="65" t="s">
        <v>88</v>
      </c>
      <c r="D1022" s="66"/>
      <c r="E1022" s="59">
        <v>34041</v>
      </c>
      <c r="F1022" s="67">
        <v>4</v>
      </c>
      <c r="G1022" s="72" t="s">
        <v>4854</v>
      </c>
      <c r="H1022" s="32" t="s">
        <v>4855</v>
      </c>
      <c r="I1022" s="65" t="s">
        <v>120</v>
      </c>
      <c r="J1022" s="65" t="s">
        <v>418</v>
      </c>
      <c r="K1022" s="68" t="str">
        <f>"00029167"</f>
        <v>00029167</v>
      </c>
    </row>
    <row r="1023" spans="1:11" ht="45" customHeight="1">
      <c r="A1023" s="32">
        <v>105</v>
      </c>
      <c r="B1023" s="45" t="s">
        <v>4856</v>
      </c>
      <c r="C1023" s="65" t="s">
        <v>88</v>
      </c>
      <c r="D1023" s="66"/>
      <c r="E1023" s="59">
        <v>50000</v>
      </c>
      <c r="F1023" s="67">
        <v>4</v>
      </c>
      <c r="G1023" s="65" t="s">
        <v>4857</v>
      </c>
      <c r="H1023" s="32" t="s">
        <v>4858</v>
      </c>
      <c r="I1023" s="65" t="s">
        <v>96</v>
      </c>
      <c r="J1023" s="65" t="s">
        <v>4859</v>
      </c>
      <c r="K1023" s="73" t="s">
        <v>4882</v>
      </c>
    </row>
    <row r="1024" spans="1:11" ht="45" customHeight="1">
      <c r="A1024" s="32">
        <v>105</v>
      </c>
      <c r="B1024" s="45" t="s">
        <v>4847</v>
      </c>
      <c r="C1024" s="65" t="s">
        <v>88</v>
      </c>
      <c r="D1024" s="66"/>
      <c r="E1024" s="59">
        <v>100207</v>
      </c>
      <c r="F1024" s="67">
        <v>4</v>
      </c>
      <c r="G1024" s="79" t="s">
        <v>4860</v>
      </c>
      <c r="H1024" s="32" t="s">
        <v>4861</v>
      </c>
      <c r="I1024" s="65" t="s">
        <v>107</v>
      </c>
      <c r="J1024" s="65" t="s">
        <v>501</v>
      </c>
      <c r="K1024" s="73" t="s">
        <v>4883</v>
      </c>
    </row>
    <row r="1025" spans="1:11" ht="45" customHeight="1">
      <c r="A1025" s="32">
        <v>105</v>
      </c>
      <c r="B1025" s="51" t="s">
        <v>4862</v>
      </c>
      <c r="C1025" s="65" t="s">
        <v>88</v>
      </c>
      <c r="D1025" s="66"/>
      <c r="E1025" s="59">
        <v>81070</v>
      </c>
      <c r="F1025" s="67">
        <v>4</v>
      </c>
      <c r="G1025" s="65" t="s">
        <v>4863</v>
      </c>
      <c r="H1025" s="32" t="s">
        <v>4864</v>
      </c>
      <c r="I1025" s="65" t="s">
        <v>120</v>
      </c>
      <c r="J1025" s="65" t="s">
        <v>418</v>
      </c>
      <c r="K1025" s="73" t="s">
        <v>4884</v>
      </c>
    </row>
    <row r="1026" spans="1:11" ht="45" customHeight="1">
      <c r="A1026" s="32">
        <v>105</v>
      </c>
      <c r="B1026" s="45" t="s">
        <v>4865</v>
      </c>
      <c r="C1026" s="65" t="s">
        <v>88</v>
      </c>
      <c r="D1026" s="66"/>
      <c r="E1026" s="59">
        <v>69052</v>
      </c>
      <c r="F1026" s="67">
        <v>4</v>
      </c>
      <c r="G1026" s="65" t="s">
        <v>4866</v>
      </c>
      <c r="H1026" s="32" t="s">
        <v>4867</v>
      </c>
      <c r="I1026" s="65" t="s">
        <v>92</v>
      </c>
      <c r="J1026" s="65" t="s">
        <v>401</v>
      </c>
      <c r="K1026" s="68" t="str">
        <f>"00032108"</f>
        <v>00032108</v>
      </c>
    </row>
    <row r="1027" spans="1:11" ht="45" customHeight="1">
      <c r="A1027" s="32">
        <v>105</v>
      </c>
      <c r="B1027" s="45" t="s">
        <v>4868</v>
      </c>
      <c r="C1027" s="65" t="s">
        <v>88</v>
      </c>
      <c r="D1027" s="66"/>
      <c r="E1027" s="59">
        <v>52379</v>
      </c>
      <c r="F1027" s="67">
        <v>4</v>
      </c>
      <c r="G1027" s="65" t="s">
        <v>4869</v>
      </c>
      <c r="H1027" s="32" t="s">
        <v>4870</v>
      </c>
      <c r="I1027" s="65" t="s">
        <v>120</v>
      </c>
      <c r="J1027" s="65" t="s">
        <v>418</v>
      </c>
      <c r="K1027" s="68" t="str">
        <f>"00031094"</f>
        <v>00031094</v>
      </c>
    </row>
    <row r="1028" spans="1:11" ht="45" customHeight="1">
      <c r="A1028" s="32">
        <v>105</v>
      </c>
      <c r="B1028" s="45" t="s">
        <v>4871</v>
      </c>
      <c r="C1028" s="65" t="s">
        <v>88</v>
      </c>
      <c r="D1028" s="66"/>
      <c r="E1028" s="59">
        <v>54542</v>
      </c>
      <c r="F1028" s="67">
        <v>4</v>
      </c>
      <c r="G1028" s="65" t="s">
        <v>4872</v>
      </c>
      <c r="H1028" s="32" t="s">
        <v>4873</v>
      </c>
      <c r="I1028" s="65" t="s">
        <v>92</v>
      </c>
      <c r="J1028" s="65" t="s">
        <v>401</v>
      </c>
      <c r="K1028" s="73" t="s">
        <v>4885</v>
      </c>
    </row>
    <row r="1029" spans="1:11" ht="45" customHeight="1">
      <c r="A1029" s="32">
        <v>105</v>
      </c>
      <c r="B1029" s="45" t="s">
        <v>4874</v>
      </c>
      <c r="C1029" s="65" t="s">
        <v>88</v>
      </c>
      <c r="D1029" s="66"/>
      <c r="E1029" s="59">
        <v>88493</v>
      </c>
      <c r="F1029" s="67">
        <v>4</v>
      </c>
      <c r="G1029" s="150" t="s">
        <v>4875</v>
      </c>
      <c r="H1029" s="32" t="s">
        <v>4876</v>
      </c>
      <c r="I1029" s="65" t="s">
        <v>107</v>
      </c>
      <c r="J1029" s="65" t="s">
        <v>501</v>
      </c>
      <c r="K1029" s="68" t="str">
        <f>"00029062"</f>
        <v>00029062</v>
      </c>
    </row>
    <row r="1030" spans="1:11" ht="45" customHeight="1">
      <c r="A1030" s="32">
        <v>105</v>
      </c>
      <c r="B1030" s="45" t="s">
        <v>4877</v>
      </c>
      <c r="C1030" s="65" t="s">
        <v>88</v>
      </c>
      <c r="D1030" s="66"/>
      <c r="E1030" s="59">
        <v>126858</v>
      </c>
      <c r="F1030" s="67">
        <v>4</v>
      </c>
      <c r="G1030" s="65" t="s">
        <v>4878</v>
      </c>
      <c r="H1030" s="32" t="s">
        <v>4879</v>
      </c>
      <c r="I1030" s="65" t="s">
        <v>119</v>
      </c>
      <c r="J1030" s="65" t="s">
        <v>4880</v>
      </c>
      <c r="K1030" s="68" t="str">
        <f>"00031882"</f>
        <v>00031882</v>
      </c>
    </row>
    <row r="1031" spans="1:11" ht="45" customHeight="1">
      <c r="A1031" s="32">
        <v>104</v>
      </c>
      <c r="B1031" s="45" t="s">
        <v>557</v>
      </c>
      <c r="C1031" s="65" t="s">
        <v>89</v>
      </c>
      <c r="D1031" s="66"/>
      <c r="E1031" s="59">
        <v>-50367</v>
      </c>
      <c r="F1031" s="67">
        <v>4</v>
      </c>
      <c r="G1031" s="65" t="s">
        <v>558</v>
      </c>
      <c r="H1031" s="32" t="s">
        <v>559</v>
      </c>
      <c r="I1031" s="65" t="s">
        <v>43</v>
      </c>
      <c r="J1031" s="65" t="s">
        <v>560</v>
      </c>
      <c r="K1031" s="78" t="s">
        <v>4898</v>
      </c>
    </row>
    <row r="1032" spans="1:11" ht="45" customHeight="1">
      <c r="A1032" s="31"/>
      <c r="B1032" s="58" t="s">
        <v>555</v>
      </c>
      <c r="C1032" s="31"/>
      <c r="D1032" s="31"/>
      <c r="E1032" s="47">
        <f>SUM(E1013:E1031)</f>
        <v>1255109</v>
      </c>
      <c r="F1032" s="31"/>
      <c r="G1032" s="31"/>
      <c r="H1032" s="31"/>
      <c r="I1032" s="31"/>
      <c r="J1032" s="31"/>
      <c r="K1032" s="31"/>
    </row>
    <row r="1033" spans="1:11" ht="45" customHeight="1">
      <c r="A1033" s="31"/>
      <c r="B1033" s="60" t="s">
        <v>571</v>
      </c>
      <c r="C1033" s="31"/>
      <c r="D1033" s="31"/>
      <c r="E1033" s="47"/>
      <c r="F1033" s="31"/>
      <c r="G1033" s="31"/>
      <c r="H1033" s="31"/>
      <c r="I1033" s="31"/>
      <c r="J1033" s="31"/>
      <c r="K1033" s="31"/>
    </row>
    <row r="1034" spans="1:11" ht="45" customHeight="1">
      <c r="A1034" s="32">
        <v>105</v>
      </c>
      <c r="B1034" s="45" t="s">
        <v>4665</v>
      </c>
      <c r="C1034" s="65" t="s">
        <v>88</v>
      </c>
      <c r="D1034" s="66"/>
      <c r="E1034" s="59">
        <v>121308</v>
      </c>
      <c r="F1034" s="67">
        <v>4</v>
      </c>
      <c r="G1034" s="69" t="s">
        <v>4666</v>
      </c>
      <c r="H1034" s="32" t="s">
        <v>4667</v>
      </c>
      <c r="I1034" s="65" t="s">
        <v>107</v>
      </c>
      <c r="J1034" s="70" t="s">
        <v>522</v>
      </c>
      <c r="K1034" s="68" t="str">
        <f>"00026868"</f>
        <v>00026868</v>
      </c>
    </row>
    <row r="1035" spans="1:11" ht="45" customHeight="1">
      <c r="A1035" s="32">
        <v>105</v>
      </c>
      <c r="B1035" s="45" t="s">
        <v>584</v>
      </c>
      <c r="C1035" s="65" t="s">
        <v>88</v>
      </c>
      <c r="D1035" s="66"/>
      <c r="E1035" s="59">
        <v>75000</v>
      </c>
      <c r="F1035" s="67">
        <v>4</v>
      </c>
      <c r="G1035" s="69" t="s">
        <v>4668</v>
      </c>
      <c r="H1035" s="32" t="s">
        <v>4669</v>
      </c>
      <c r="I1035" s="65" t="s">
        <v>107</v>
      </c>
      <c r="J1035" s="70" t="s">
        <v>522</v>
      </c>
      <c r="K1035" s="148" t="s">
        <v>6127</v>
      </c>
    </row>
    <row r="1036" spans="1:11" ht="45" customHeight="1">
      <c r="A1036" s="32">
        <v>105</v>
      </c>
      <c r="B1036" s="45" t="s">
        <v>584</v>
      </c>
      <c r="C1036" s="65" t="s">
        <v>88</v>
      </c>
      <c r="D1036" s="66"/>
      <c r="E1036" s="59">
        <v>75000</v>
      </c>
      <c r="F1036" s="67">
        <v>4</v>
      </c>
      <c r="G1036" s="65" t="s">
        <v>4670</v>
      </c>
      <c r="H1036" s="32" t="s">
        <v>4671</v>
      </c>
      <c r="I1036" s="65" t="s">
        <v>107</v>
      </c>
      <c r="J1036" s="70" t="s">
        <v>522</v>
      </c>
      <c r="K1036" s="148" t="s">
        <v>6128</v>
      </c>
    </row>
    <row r="1037" spans="1:11" ht="45" customHeight="1">
      <c r="A1037" s="32">
        <v>105</v>
      </c>
      <c r="B1037" s="45" t="s">
        <v>4672</v>
      </c>
      <c r="C1037" s="65" t="s">
        <v>88</v>
      </c>
      <c r="D1037" s="66"/>
      <c r="E1037" s="59">
        <v>52589</v>
      </c>
      <c r="F1037" s="67">
        <v>4</v>
      </c>
      <c r="G1037" s="65" t="s">
        <v>4673</v>
      </c>
      <c r="H1037" s="32" t="s">
        <v>4674</v>
      </c>
      <c r="I1037" s="65" t="s">
        <v>92</v>
      </c>
      <c r="J1037" s="65" t="s">
        <v>401</v>
      </c>
      <c r="K1037" s="68" t="str">
        <f>"00027712"</f>
        <v>00027712</v>
      </c>
    </row>
    <row r="1038" spans="1:11" ht="45" customHeight="1">
      <c r="A1038" s="32">
        <v>105</v>
      </c>
      <c r="B1038" s="45" t="s">
        <v>577</v>
      </c>
      <c r="C1038" s="65" t="s">
        <v>88</v>
      </c>
      <c r="D1038" s="66"/>
      <c r="E1038" s="59">
        <v>50000</v>
      </c>
      <c r="F1038" s="67">
        <v>4</v>
      </c>
      <c r="G1038" s="65" t="s">
        <v>4675</v>
      </c>
      <c r="H1038" s="32" t="s">
        <v>4676</v>
      </c>
      <c r="I1038" s="65" t="s">
        <v>92</v>
      </c>
      <c r="J1038" s="65" t="s">
        <v>401</v>
      </c>
      <c r="K1038" s="68" t="str">
        <f>"00027664"</f>
        <v>00027664</v>
      </c>
    </row>
    <row r="1039" spans="1:11" ht="45" customHeight="1">
      <c r="A1039" s="32">
        <v>105</v>
      </c>
      <c r="B1039" s="45" t="s">
        <v>575</v>
      </c>
      <c r="C1039" s="65" t="s">
        <v>88</v>
      </c>
      <c r="D1039" s="66"/>
      <c r="E1039" s="59">
        <v>43693</v>
      </c>
      <c r="F1039" s="67">
        <v>4</v>
      </c>
      <c r="G1039" s="65" t="s">
        <v>543</v>
      </c>
      <c r="H1039" s="32" t="s">
        <v>4677</v>
      </c>
      <c r="I1039" s="65" t="s">
        <v>92</v>
      </c>
      <c r="J1039" s="65" t="s">
        <v>401</v>
      </c>
      <c r="K1039" s="68" t="str">
        <f>"00026856"</f>
        <v>00026856</v>
      </c>
    </row>
    <row r="1040" spans="1:11" ht="45" customHeight="1">
      <c r="A1040" s="32">
        <v>105</v>
      </c>
      <c r="B1040" s="45" t="s">
        <v>4678</v>
      </c>
      <c r="C1040" s="65" t="s">
        <v>88</v>
      </c>
      <c r="D1040" s="66"/>
      <c r="E1040" s="59">
        <v>113360</v>
      </c>
      <c r="F1040" s="67">
        <v>4</v>
      </c>
      <c r="G1040" s="65" t="s">
        <v>773</v>
      </c>
      <c r="H1040" s="32" t="s">
        <v>4679</v>
      </c>
      <c r="I1040" s="65" t="s">
        <v>107</v>
      </c>
      <c r="J1040" s="70" t="s">
        <v>522</v>
      </c>
      <c r="K1040" s="73" t="s">
        <v>4826</v>
      </c>
    </row>
    <row r="1041" spans="1:11" ht="45" customHeight="1">
      <c r="A1041" s="32">
        <v>105</v>
      </c>
      <c r="B1041" s="45" t="s">
        <v>583</v>
      </c>
      <c r="C1041" s="65" t="s">
        <v>88</v>
      </c>
      <c r="D1041" s="66"/>
      <c r="E1041" s="59">
        <v>68274</v>
      </c>
      <c r="F1041" s="67">
        <v>4</v>
      </c>
      <c r="G1041" s="65" t="s">
        <v>4680</v>
      </c>
      <c r="H1041" s="32" t="s">
        <v>4681</v>
      </c>
      <c r="I1041" s="65" t="s">
        <v>107</v>
      </c>
      <c r="J1041" s="70" t="s">
        <v>522</v>
      </c>
      <c r="K1041" s="73" t="s">
        <v>4757</v>
      </c>
    </row>
    <row r="1042" spans="1:11" ht="45" customHeight="1">
      <c r="A1042" s="32">
        <v>105</v>
      </c>
      <c r="B1042" s="45" t="s">
        <v>4682</v>
      </c>
      <c r="C1042" s="65" t="s">
        <v>88</v>
      </c>
      <c r="D1042" s="66"/>
      <c r="E1042" s="59">
        <v>140000</v>
      </c>
      <c r="F1042" s="67">
        <v>4</v>
      </c>
      <c r="G1042" s="65" t="s">
        <v>4683</v>
      </c>
      <c r="H1042" s="32" t="s">
        <v>4684</v>
      </c>
      <c r="I1042" s="65" t="s">
        <v>107</v>
      </c>
      <c r="J1042" s="70" t="s">
        <v>4630</v>
      </c>
      <c r="K1042" s="68" t="str">
        <f>"00027742"</f>
        <v>00027742</v>
      </c>
    </row>
    <row r="1043" spans="1:11" ht="45" customHeight="1">
      <c r="A1043" s="32">
        <v>105</v>
      </c>
      <c r="B1043" s="45" t="s">
        <v>772</v>
      </c>
      <c r="C1043" s="65" t="s">
        <v>88</v>
      </c>
      <c r="D1043" s="66"/>
      <c r="E1043" s="59">
        <v>61766</v>
      </c>
      <c r="F1043" s="67">
        <v>4</v>
      </c>
      <c r="G1043" s="65" t="s">
        <v>4680</v>
      </c>
      <c r="H1043" s="32" t="s">
        <v>4681</v>
      </c>
      <c r="I1043" s="65" t="s">
        <v>107</v>
      </c>
      <c r="J1043" s="70" t="s">
        <v>522</v>
      </c>
      <c r="K1043" s="148" t="s">
        <v>6129</v>
      </c>
    </row>
    <row r="1044" spans="1:11" ht="45" customHeight="1">
      <c r="A1044" s="32">
        <v>105</v>
      </c>
      <c r="B1044" s="45" t="s">
        <v>585</v>
      </c>
      <c r="C1044" s="65" t="s">
        <v>88</v>
      </c>
      <c r="D1044" s="66"/>
      <c r="E1044" s="59">
        <v>25000</v>
      </c>
      <c r="F1044" s="67">
        <v>4</v>
      </c>
      <c r="G1044" s="69" t="s">
        <v>4685</v>
      </c>
      <c r="H1044" s="32" t="s">
        <v>4686</v>
      </c>
      <c r="I1044" s="65" t="s">
        <v>294</v>
      </c>
      <c r="J1044" s="65" t="s">
        <v>4687</v>
      </c>
      <c r="K1044" s="73" t="s">
        <v>4758</v>
      </c>
    </row>
    <row r="1045" spans="1:11" ht="45" customHeight="1">
      <c r="A1045" s="32">
        <v>105</v>
      </c>
      <c r="B1045" s="45" t="s">
        <v>4672</v>
      </c>
      <c r="C1045" s="65" t="s">
        <v>88</v>
      </c>
      <c r="D1045" s="66"/>
      <c r="E1045" s="59">
        <v>97411</v>
      </c>
      <c r="F1045" s="67">
        <v>4</v>
      </c>
      <c r="G1045" s="65" t="s">
        <v>4688</v>
      </c>
      <c r="H1045" s="32" t="s">
        <v>4689</v>
      </c>
      <c r="I1045" s="65" t="s">
        <v>107</v>
      </c>
      <c r="J1045" s="65" t="s">
        <v>544</v>
      </c>
      <c r="K1045" s="68" t="str">
        <f>"00028483"</f>
        <v>00028483</v>
      </c>
    </row>
    <row r="1046" spans="1:11" ht="45" customHeight="1">
      <c r="A1046" s="32">
        <v>105</v>
      </c>
      <c r="B1046" s="51" t="s">
        <v>4690</v>
      </c>
      <c r="C1046" s="65" t="s">
        <v>88</v>
      </c>
      <c r="D1046" s="66"/>
      <c r="E1046" s="59">
        <v>83108</v>
      </c>
      <c r="F1046" s="67">
        <v>4</v>
      </c>
      <c r="G1046" s="65" t="s">
        <v>543</v>
      </c>
      <c r="H1046" s="32" t="s">
        <v>4691</v>
      </c>
      <c r="I1046" s="65" t="s">
        <v>92</v>
      </c>
      <c r="J1046" s="65" t="s">
        <v>401</v>
      </c>
      <c r="K1046" s="68" t="str">
        <f>"00029402"</f>
        <v>00029402</v>
      </c>
    </row>
    <row r="1047" spans="1:11" ht="45" customHeight="1">
      <c r="A1047" s="32">
        <v>105</v>
      </c>
      <c r="B1047" s="51" t="s">
        <v>4690</v>
      </c>
      <c r="C1047" s="65" t="s">
        <v>88</v>
      </c>
      <c r="D1047" s="66"/>
      <c r="E1047" s="59">
        <v>85242</v>
      </c>
      <c r="F1047" s="67">
        <v>4</v>
      </c>
      <c r="G1047" s="65" t="s">
        <v>4692</v>
      </c>
      <c r="H1047" s="32" t="s">
        <v>4693</v>
      </c>
      <c r="I1047" s="65" t="s">
        <v>92</v>
      </c>
      <c r="J1047" s="65" t="s">
        <v>401</v>
      </c>
      <c r="K1047" s="68" t="str">
        <f>"00028738"</f>
        <v>00028738</v>
      </c>
    </row>
    <row r="1048" spans="1:11" ht="45" customHeight="1">
      <c r="A1048" s="32">
        <v>105</v>
      </c>
      <c r="B1048" s="45" t="s">
        <v>771</v>
      </c>
      <c r="C1048" s="65" t="s">
        <v>88</v>
      </c>
      <c r="D1048" s="66"/>
      <c r="E1048" s="59">
        <v>97960</v>
      </c>
      <c r="F1048" s="67">
        <v>4</v>
      </c>
      <c r="G1048" s="65" t="s">
        <v>4694</v>
      </c>
      <c r="H1048" s="32" t="s">
        <v>4695</v>
      </c>
      <c r="I1048" s="65" t="s">
        <v>233</v>
      </c>
      <c r="J1048" s="65" t="s">
        <v>4696</v>
      </c>
      <c r="K1048" s="68" t="str">
        <f>"00028658"</f>
        <v>00028658</v>
      </c>
    </row>
    <row r="1049" spans="1:11" ht="45" customHeight="1">
      <c r="A1049" s="32">
        <v>105</v>
      </c>
      <c r="B1049" s="45" t="s">
        <v>586</v>
      </c>
      <c r="C1049" s="65" t="s">
        <v>88</v>
      </c>
      <c r="D1049" s="66"/>
      <c r="E1049" s="59">
        <v>90879</v>
      </c>
      <c r="F1049" s="67">
        <v>4</v>
      </c>
      <c r="G1049" s="65" t="s">
        <v>543</v>
      </c>
      <c r="H1049" s="32" t="s">
        <v>3908</v>
      </c>
      <c r="I1049" s="65" t="s">
        <v>92</v>
      </c>
      <c r="J1049" s="65" t="s">
        <v>401</v>
      </c>
      <c r="K1049" s="68" t="str">
        <f>"00028208"</f>
        <v>00028208</v>
      </c>
    </row>
    <row r="1050" spans="1:11" ht="45" customHeight="1">
      <c r="A1050" s="32">
        <v>105</v>
      </c>
      <c r="B1050" s="45" t="s">
        <v>4697</v>
      </c>
      <c r="C1050" s="65" t="s">
        <v>88</v>
      </c>
      <c r="D1050" s="66"/>
      <c r="E1050" s="59">
        <v>3942</v>
      </c>
      <c r="F1050" s="67">
        <v>4</v>
      </c>
      <c r="G1050" s="65" t="s">
        <v>4698</v>
      </c>
      <c r="H1050" s="32" t="s">
        <v>4699</v>
      </c>
      <c r="I1050" s="65" t="s">
        <v>107</v>
      </c>
      <c r="J1050" s="70" t="s">
        <v>4700</v>
      </c>
      <c r="K1050" s="148" t="s">
        <v>6130</v>
      </c>
    </row>
    <row r="1051" spans="1:11" ht="45" customHeight="1">
      <c r="A1051" s="32">
        <v>105</v>
      </c>
      <c r="B1051" s="45" t="s">
        <v>4678</v>
      </c>
      <c r="C1051" s="65" t="s">
        <v>88</v>
      </c>
      <c r="D1051" s="66"/>
      <c r="E1051" s="59">
        <v>145395</v>
      </c>
      <c r="F1051" s="67">
        <v>4</v>
      </c>
      <c r="G1051" s="65" t="s">
        <v>4701</v>
      </c>
      <c r="H1051" s="32" t="s">
        <v>4702</v>
      </c>
      <c r="I1051" s="65" t="s">
        <v>107</v>
      </c>
      <c r="J1051" s="65" t="s">
        <v>462</v>
      </c>
      <c r="K1051" s="73" t="s">
        <v>4759</v>
      </c>
    </row>
    <row r="1052" spans="1:11" ht="45" customHeight="1">
      <c r="A1052" s="32">
        <v>105</v>
      </c>
      <c r="B1052" s="49" t="s">
        <v>4703</v>
      </c>
      <c r="C1052" s="65" t="s">
        <v>88</v>
      </c>
      <c r="D1052" s="66"/>
      <c r="E1052" s="59">
        <v>10000</v>
      </c>
      <c r="F1052" s="67">
        <v>4</v>
      </c>
      <c r="G1052" s="70" t="s">
        <v>4704</v>
      </c>
      <c r="H1052" s="32" t="s">
        <v>4705</v>
      </c>
      <c r="I1052" s="65" t="s">
        <v>107</v>
      </c>
      <c r="J1052" s="65" t="s">
        <v>4706</v>
      </c>
      <c r="K1052" s="68" t="str">
        <f>"00029950"</f>
        <v>00029950</v>
      </c>
    </row>
    <row r="1053" spans="1:11" ht="45" customHeight="1">
      <c r="A1053" s="32">
        <v>105</v>
      </c>
      <c r="B1053" s="45" t="s">
        <v>4707</v>
      </c>
      <c r="C1053" s="65" t="s">
        <v>88</v>
      </c>
      <c r="D1053" s="66"/>
      <c r="E1053" s="59">
        <v>30765</v>
      </c>
      <c r="F1053" s="67">
        <v>4</v>
      </c>
      <c r="G1053" s="65" t="s">
        <v>4708</v>
      </c>
      <c r="H1053" s="32" t="s">
        <v>4709</v>
      </c>
      <c r="I1053" s="65" t="s">
        <v>100</v>
      </c>
      <c r="J1053" s="65" t="s">
        <v>468</v>
      </c>
      <c r="K1053" s="68" t="str">
        <f>"00029484"</f>
        <v>00029484</v>
      </c>
    </row>
    <row r="1054" spans="1:11" ht="45" customHeight="1">
      <c r="A1054" s="32">
        <v>105</v>
      </c>
      <c r="B1054" s="45" t="s">
        <v>4710</v>
      </c>
      <c r="C1054" s="65" t="s">
        <v>88</v>
      </c>
      <c r="D1054" s="66"/>
      <c r="E1054" s="59">
        <v>110606</v>
      </c>
      <c r="F1054" s="67">
        <v>4</v>
      </c>
      <c r="G1054" s="65" t="s">
        <v>4711</v>
      </c>
      <c r="H1054" s="32" t="s">
        <v>4712</v>
      </c>
      <c r="I1054" s="65" t="s">
        <v>91</v>
      </c>
      <c r="J1054" s="65" t="s">
        <v>4048</v>
      </c>
      <c r="K1054" s="77" t="s">
        <v>4760</v>
      </c>
    </row>
    <row r="1055" spans="1:11" ht="45" customHeight="1">
      <c r="A1055" s="32">
        <v>105</v>
      </c>
      <c r="B1055" s="45" t="s">
        <v>4713</v>
      </c>
      <c r="C1055" s="65" t="s">
        <v>88</v>
      </c>
      <c r="D1055" s="66"/>
      <c r="E1055" s="59">
        <v>105947</v>
      </c>
      <c r="F1055" s="67">
        <v>4</v>
      </c>
      <c r="G1055" s="65" t="s">
        <v>4714</v>
      </c>
      <c r="H1055" s="32" t="s">
        <v>4715</v>
      </c>
      <c r="I1055" s="65" t="s">
        <v>107</v>
      </c>
      <c r="J1055" s="65" t="s">
        <v>604</v>
      </c>
      <c r="K1055" s="148" t="s">
        <v>6131</v>
      </c>
    </row>
    <row r="1056" spans="1:11" ht="45" customHeight="1">
      <c r="A1056" s="32">
        <v>105</v>
      </c>
      <c r="B1056" s="49" t="s">
        <v>579</v>
      </c>
      <c r="C1056" s="65" t="s">
        <v>88</v>
      </c>
      <c r="D1056" s="66"/>
      <c r="E1056" s="59">
        <v>53824</v>
      </c>
      <c r="F1056" s="67">
        <v>4</v>
      </c>
      <c r="G1056" s="65" t="s">
        <v>4716</v>
      </c>
      <c r="H1056" s="32" t="s">
        <v>4717</v>
      </c>
      <c r="I1056" s="65" t="s">
        <v>92</v>
      </c>
      <c r="J1056" s="65" t="s">
        <v>4718</v>
      </c>
      <c r="K1056" s="68" t="str">
        <f>"00028662"</f>
        <v>00028662</v>
      </c>
    </row>
    <row r="1057" spans="1:11" ht="45" customHeight="1">
      <c r="A1057" s="32">
        <v>105</v>
      </c>
      <c r="B1057" s="45" t="s">
        <v>4719</v>
      </c>
      <c r="C1057" s="65" t="s">
        <v>88</v>
      </c>
      <c r="D1057" s="66"/>
      <c r="E1057" s="59">
        <v>137567</v>
      </c>
      <c r="F1057" s="67">
        <v>4</v>
      </c>
      <c r="G1057" s="69" t="s">
        <v>4720</v>
      </c>
      <c r="H1057" s="32" t="s">
        <v>4721</v>
      </c>
      <c r="I1057" s="65" t="s">
        <v>107</v>
      </c>
      <c r="J1057" s="65" t="s">
        <v>544</v>
      </c>
      <c r="K1057" s="77" t="s">
        <v>4761</v>
      </c>
    </row>
    <row r="1058" spans="1:11" ht="45" customHeight="1">
      <c r="A1058" s="32">
        <v>105</v>
      </c>
      <c r="B1058" s="45" t="s">
        <v>4722</v>
      </c>
      <c r="C1058" s="65" t="s">
        <v>88</v>
      </c>
      <c r="D1058" s="66"/>
      <c r="E1058" s="59">
        <v>36726</v>
      </c>
      <c r="F1058" s="67">
        <v>4</v>
      </c>
      <c r="G1058" s="65" t="s">
        <v>4723</v>
      </c>
      <c r="H1058" s="32" t="s">
        <v>4724</v>
      </c>
      <c r="I1058" s="65" t="s">
        <v>92</v>
      </c>
      <c r="J1058" s="65" t="s">
        <v>484</v>
      </c>
      <c r="K1058" s="77" t="s">
        <v>4762</v>
      </c>
    </row>
    <row r="1059" spans="1:11" ht="45" customHeight="1">
      <c r="A1059" s="32">
        <v>105</v>
      </c>
      <c r="B1059" s="45" t="s">
        <v>4725</v>
      </c>
      <c r="C1059" s="65" t="s">
        <v>88</v>
      </c>
      <c r="D1059" s="66"/>
      <c r="E1059" s="59">
        <v>33529</v>
      </c>
      <c r="F1059" s="67">
        <v>4</v>
      </c>
      <c r="G1059" s="65" t="s">
        <v>4726</v>
      </c>
      <c r="H1059" s="32" t="s">
        <v>4727</v>
      </c>
      <c r="I1059" s="65" t="s">
        <v>92</v>
      </c>
      <c r="J1059" s="65" t="s">
        <v>4728</v>
      </c>
      <c r="K1059" s="68" t="str">
        <f>"00031462"</f>
        <v>00031462</v>
      </c>
    </row>
    <row r="1060" spans="1:11" ht="45" customHeight="1">
      <c r="A1060" s="32">
        <v>105</v>
      </c>
      <c r="B1060" s="49" t="s">
        <v>579</v>
      </c>
      <c r="C1060" s="65" t="s">
        <v>88</v>
      </c>
      <c r="D1060" s="66"/>
      <c r="E1060" s="59">
        <v>70000</v>
      </c>
      <c r="F1060" s="67">
        <v>4</v>
      </c>
      <c r="G1060" s="65" t="s">
        <v>4729</v>
      </c>
      <c r="H1060" s="32" t="s">
        <v>4730</v>
      </c>
      <c r="I1060" s="65" t="s">
        <v>91</v>
      </c>
      <c r="J1060" s="65" t="s">
        <v>4048</v>
      </c>
      <c r="K1060" s="148" t="s">
        <v>6132</v>
      </c>
    </row>
    <row r="1061" spans="1:11" ht="45" customHeight="1">
      <c r="A1061" s="32">
        <v>105</v>
      </c>
      <c r="B1061" s="49" t="s">
        <v>4731</v>
      </c>
      <c r="C1061" s="65" t="s">
        <v>88</v>
      </c>
      <c r="D1061" s="66"/>
      <c r="E1061" s="59">
        <v>25554</v>
      </c>
      <c r="F1061" s="67">
        <v>4</v>
      </c>
      <c r="G1061" s="65" t="s">
        <v>4732</v>
      </c>
      <c r="H1061" s="32" t="s">
        <v>4733</v>
      </c>
      <c r="I1061" s="65" t="s">
        <v>177</v>
      </c>
      <c r="J1061" s="65" t="s">
        <v>4734</v>
      </c>
      <c r="K1061" s="68" t="str">
        <f>"00029960"</f>
        <v>00029960</v>
      </c>
    </row>
    <row r="1062" spans="1:11" ht="45" customHeight="1">
      <c r="A1062" s="32">
        <v>105</v>
      </c>
      <c r="B1062" s="51" t="s">
        <v>4735</v>
      </c>
      <c r="C1062" s="65" t="s">
        <v>88</v>
      </c>
      <c r="D1062" s="66"/>
      <c r="E1062" s="59">
        <v>78645</v>
      </c>
      <c r="F1062" s="67">
        <v>4</v>
      </c>
      <c r="G1062" s="65" t="s">
        <v>578</v>
      </c>
      <c r="H1062" s="32" t="s">
        <v>4736</v>
      </c>
      <c r="I1062" s="65" t="s">
        <v>100</v>
      </c>
      <c r="J1062" s="65" t="s">
        <v>468</v>
      </c>
      <c r="K1062" s="77" t="s">
        <v>4763</v>
      </c>
    </row>
    <row r="1063" spans="1:11" ht="45" customHeight="1">
      <c r="A1063" s="32">
        <v>105</v>
      </c>
      <c r="B1063" s="45" t="s">
        <v>4697</v>
      </c>
      <c r="C1063" s="65" t="s">
        <v>88</v>
      </c>
      <c r="D1063" s="66"/>
      <c r="E1063" s="59">
        <v>31579</v>
      </c>
      <c r="F1063" s="67">
        <v>4</v>
      </c>
      <c r="G1063" s="65" t="s">
        <v>4737</v>
      </c>
      <c r="H1063" s="32" t="s">
        <v>4699</v>
      </c>
      <c r="I1063" s="65" t="s">
        <v>107</v>
      </c>
      <c r="J1063" s="70" t="s">
        <v>4700</v>
      </c>
      <c r="K1063" s="148" t="s">
        <v>6133</v>
      </c>
    </row>
    <row r="1064" spans="1:11" ht="45" customHeight="1">
      <c r="A1064" s="32">
        <v>105</v>
      </c>
      <c r="B1064" s="45" t="s">
        <v>4738</v>
      </c>
      <c r="C1064" s="65" t="s">
        <v>88</v>
      </c>
      <c r="D1064" s="66"/>
      <c r="E1064" s="59">
        <v>109151</v>
      </c>
      <c r="F1064" s="67">
        <v>4</v>
      </c>
      <c r="G1064" s="65" t="s">
        <v>4739</v>
      </c>
      <c r="H1064" s="32" t="s">
        <v>4740</v>
      </c>
      <c r="I1064" s="65" t="s">
        <v>222</v>
      </c>
      <c r="J1064" s="65" t="s">
        <v>4741</v>
      </c>
      <c r="K1064" s="68" t="str">
        <f>"00030831"</f>
        <v>00030831</v>
      </c>
    </row>
    <row r="1065" spans="1:11" ht="45" customHeight="1">
      <c r="A1065" s="32">
        <v>105</v>
      </c>
      <c r="B1065" s="45" t="s">
        <v>4742</v>
      </c>
      <c r="C1065" s="65" t="s">
        <v>88</v>
      </c>
      <c r="D1065" s="66"/>
      <c r="E1065" s="59">
        <v>60000</v>
      </c>
      <c r="F1065" s="67">
        <v>4</v>
      </c>
      <c r="G1065" s="65" t="s">
        <v>4743</v>
      </c>
      <c r="H1065" s="32" t="s">
        <v>4744</v>
      </c>
      <c r="I1065" s="65" t="s">
        <v>96</v>
      </c>
      <c r="J1065" s="65" t="s">
        <v>443</v>
      </c>
      <c r="K1065" s="68" t="str">
        <f>"00030381"</f>
        <v>00030381</v>
      </c>
    </row>
    <row r="1066" spans="1:11" ht="45" customHeight="1">
      <c r="A1066" s="32">
        <v>105</v>
      </c>
      <c r="B1066" s="45" t="s">
        <v>4745</v>
      </c>
      <c r="C1066" s="65" t="s">
        <v>88</v>
      </c>
      <c r="D1066" s="66"/>
      <c r="E1066" s="59">
        <v>42000</v>
      </c>
      <c r="F1066" s="67">
        <v>4</v>
      </c>
      <c r="G1066" s="71" t="s">
        <v>4746</v>
      </c>
      <c r="H1066" s="32" t="s">
        <v>4747</v>
      </c>
      <c r="I1066" s="65" t="s">
        <v>107</v>
      </c>
      <c r="J1066" s="65" t="s">
        <v>4630</v>
      </c>
      <c r="K1066" s="68" t="str">
        <f>"00030241"</f>
        <v>00030241</v>
      </c>
    </row>
    <row r="1067" spans="1:11" ht="45" customHeight="1">
      <c r="A1067" s="32">
        <v>105</v>
      </c>
      <c r="B1067" s="45" t="s">
        <v>4748</v>
      </c>
      <c r="C1067" s="65" t="s">
        <v>88</v>
      </c>
      <c r="D1067" s="66"/>
      <c r="E1067" s="59">
        <v>89405</v>
      </c>
      <c r="F1067" s="67">
        <v>4</v>
      </c>
      <c r="G1067" s="65" t="s">
        <v>4749</v>
      </c>
      <c r="H1067" s="32" t="s">
        <v>587</v>
      </c>
      <c r="I1067" s="65" t="s">
        <v>570</v>
      </c>
      <c r="J1067" s="65" t="s">
        <v>588</v>
      </c>
      <c r="K1067" s="77" t="s">
        <v>4764</v>
      </c>
    </row>
    <row r="1068" spans="1:11" ht="45" customHeight="1">
      <c r="A1068" s="32">
        <v>105</v>
      </c>
      <c r="B1068" s="45" t="s">
        <v>4750</v>
      </c>
      <c r="C1068" s="65" t="s">
        <v>88</v>
      </c>
      <c r="D1068" s="66"/>
      <c r="E1068" s="59">
        <v>105905</v>
      </c>
      <c r="F1068" s="67">
        <v>4</v>
      </c>
      <c r="G1068" s="65" t="s">
        <v>4751</v>
      </c>
      <c r="H1068" s="32" t="s">
        <v>587</v>
      </c>
      <c r="I1068" s="65" t="s">
        <v>570</v>
      </c>
      <c r="J1068" s="65" t="s">
        <v>588</v>
      </c>
      <c r="K1068" s="68" t="s">
        <v>4664</v>
      </c>
    </row>
    <row r="1069" spans="1:11" ht="45" customHeight="1">
      <c r="A1069" s="32">
        <v>105</v>
      </c>
      <c r="B1069" s="45" t="s">
        <v>4752</v>
      </c>
      <c r="C1069" s="65" t="s">
        <v>88</v>
      </c>
      <c r="D1069" s="66"/>
      <c r="E1069" s="59">
        <v>22005</v>
      </c>
      <c r="F1069" s="67">
        <v>4</v>
      </c>
      <c r="G1069" s="65" t="s">
        <v>4753</v>
      </c>
      <c r="H1069" s="32" t="s">
        <v>4754</v>
      </c>
      <c r="I1069" s="65" t="s">
        <v>100</v>
      </c>
      <c r="J1069" s="65" t="s">
        <v>468</v>
      </c>
      <c r="K1069" s="68" t="str">
        <f>"00024038"</f>
        <v>00024038</v>
      </c>
    </row>
    <row r="1070" spans="1:11" ht="45" customHeight="1">
      <c r="A1070" s="32">
        <v>105</v>
      </c>
      <c r="B1070" s="45" t="s">
        <v>4752</v>
      </c>
      <c r="C1070" s="65" t="s">
        <v>88</v>
      </c>
      <c r="D1070" s="66"/>
      <c r="E1070" s="59">
        <v>21344</v>
      </c>
      <c r="F1070" s="67">
        <v>4</v>
      </c>
      <c r="G1070" s="65" t="s">
        <v>4752</v>
      </c>
      <c r="H1070" s="32" t="s">
        <v>4755</v>
      </c>
      <c r="I1070" s="65" t="s">
        <v>100</v>
      </c>
      <c r="J1070" s="65" t="s">
        <v>468</v>
      </c>
      <c r="K1070" s="68" t="str">
        <f>"00024061"</f>
        <v>00024061</v>
      </c>
    </row>
    <row r="1071" spans="1:11" ht="45" customHeight="1">
      <c r="A1071" s="32">
        <v>105</v>
      </c>
      <c r="B1071" s="45" t="s">
        <v>4752</v>
      </c>
      <c r="C1071" s="65" t="s">
        <v>88</v>
      </c>
      <c r="D1071" s="66"/>
      <c r="E1071" s="59">
        <v>18166</v>
      </c>
      <c r="F1071" s="67">
        <v>4</v>
      </c>
      <c r="G1071" s="65" t="s">
        <v>4752</v>
      </c>
      <c r="H1071" s="32" t="s">
        <v>4756</v>
      </c>
      <c r="I1071" s="65" t="s">
        <v>100</v>
      </c>
      <c r="J1071" s="65" t="s">
        <v>468</v>
      </c>
      <c r="K1071" s="68" t="str">
        <f>"00024548"</f>
        <v>00024548</v>
      </c>
    </row>
    <row r="1072" spans="1:11" ht="45" customHeight="1">
      <c r="A1072" s="32">
        <v>105</v>
      </c>
      <c r="B1072" s="45" t="s">
        <v>4766</v>
      </c>
      <c r="C1072" s="65" t="s">
        <v>88</v>
      </c>
      <c r="D1072" s="66"/>
      <c r="E1072" s="59">
        <v>100000</v>
      </c>
      <c r="F1072" s="67">
        <v>4</v>
      </c>
      <c r="G1072" s="65" t="s">
        <v>4767</v>
      </c>
      <c r="H1072" s="32" t="s">
        <v>4712</v>
      </c>
      <c r="I1072" s="65" t="s">
        <v>91</v>
      </c>
      <c r="J1072" s="65" t="s">
        <v>4048</v>
      </c>
      <c r="K1072" s="68" t="str">
        <f>"00029120"</f>
        <v>00029120</v>
      </c>
    </row>
    <row r="1073" spans="1:11" ht="45" customHeight="1">
      <c r="A1073" s="32">
        <v>105</v>
      </c>
      <c r="B1073" s="45" t="s">
        <v>4768</v>
      </c>
      <c r="C1073" s="65" t="s">
        <v>88</v>
      </c>
      <c r="D1073" s="66"/>
      <c r="E1073" s="59">
        <v>94822</v>
      </c>
      <c r="F1073" s="67">
        <v>4</v>
      </c>
      <c r="G1073" s="65" t="s">
        <v>4769</v>
      </c>
      <c r="H1073" s="32" t="s">
        <v>4770</v>
      </c>
      <c r="I1073" s="65" t="s">
        <v>107</v>
      </c>
      <c r="J1073" s="70" t="s">
        <v>4700</v>
      </c>
      <c r="K1073" s="68" t="str">
        <f>"00028997"</f>
        <v>00028997</v>
      </c>
    </row>
    <row r="1074" spans="1:11" ht="45" customHeight="1">
      <c r="A1074" s="32">
        <v>105</v>
      </c>
      <c r="B1074" s="45" t="s">
        <v>4771</v>
      </c>
      <c r="C1074" s="65" t="s">
        <v>88</v>
      </c>
      <c r="D1074" s="66"/>
      <c r="E1074" s="59">
        <v>51735</v>
      </c>
      <c r="F1074" s="67">
        <v>4</v>
      </c>
      <c r="G1074" s="65" t="s">
        <v>4771</v>
      </c>
      <c r="H1074" s="32" t="s">
        <v>4617</v>
      </c>
      <c r="I1074" s="65" t="s">
        <v>165</v>
      </c>
      <c r="J1074" s="65" t="s">
        <v>4772</v>
      </c>
      <c r="K1074" s="68" t="str">
        <f>"00031962"</f>
        <v>00031962</v>
      </c>
    </row>
    <row r="1075" spans="1:11" ht="45" customHeight="1">
      <c r="A1075" s="32">
        <v>105</v>
      </c>
      <c r="B1075" s="45" t="s">
        <v>4766</v>
      </c>
      <c r="C1075" s="65" t="s">
        <v>88</v>
      </c>
      <c r="D1075" s="66"/>
      <c r="E1075" s="59">
        <v>65104</v>
      </c>
      <c r="F1075" s="67">
        <v>4</v>
      </c>
      <c r="G1075" s="65" t="s">
        <v>4773</v>
      </c>
      <c r="H1075" s="32" t="s">
        <v>4774</v>
      </c>
      <c r="I1075" s="65" t="s">
        <v>107</v>
      </c>
      <c r="J1075" s="65" t="s">
        <v>4630</v>
      </c>
      <c r="K1075" s="68" t="str">
        <f>"00028558"</f>
        <v>00028558</v>
      </c>
    </row>
    <row r="1076" spans="1:11" ht="45" customHeight="1">
      <c r="A1076" s="32">
        <v>105</v>
      </c>
      <c r="B1076" s="76" t="s">
        <v>4780</v>
      </c>
      <c r="C1076" s="65" t="s">
        <v>88</v>
      </c>
      <c r="D1076" s="66"/>
      <c r="E1076" s="59">
        <v>39033</v>
      </c>
      <c r="F1076" s="67">
        <v>4</v>
      </c>
      <c r="G1076" s="65" t="s">
        <v>4775</v>
      </c>
      <c r="H1076" s="32" t="s">
        <v>5357</v>
      </c>
      <c r="I1076" s="65" t="s">
        <v>4765</v>
      </c>
      <c r="J1076" s="65" t="s">
        <v>4776</v>
      </c>
      <c r="K1076" s="81" t="s">
        <v>4920</v>
      </c>
    </row>
    <row r="1077" spans="1:11" ht="45" customHeight="1">
      <c r="A1077" s="32">
        <v>105</v>
      </c>
      <c r="B1077" s="76" t="s">
        <v>4780</v>
      </c>
      <c r="C1077" s="65" t="s">
        <v>88</v>
      </c>
      <c r="D1077" s="66"/>
      <c r="E1077" s="59">
        <v>39590</v>
      </c>
      <c r="F1077" s="67">
        <v>4</v>
      </c>
      <c r="G1077" s="65" t="s">
        <v>4775</v>
      </c>
      <c r="H1077" s="32" t="s">
        <v>5357</v>
      </c>
      <c r="I1077" s="65" t="s">
        <v>4765</v>
      </c>
      <c r="J1077" s="65" t="s">
        <v>4776</v>
      </c>
      <c r="K1077" s="81" t="s">
        <v>4921</v>
      </c>
    </row>
    <row r="1078" spans="1:11" ht="45" customHeight="1">
      <c r="A1078" s="32">
        <v>105</v>
      </c>
      <c r="B1078" s="76" t="s">
        <v>4780</v>
      </c>
      <c r="C1078" s="65" t="s">
        <v>88</v>
      </c>
      <c r="D1078" s="66"/>
      <c r="E1078" s="59">
        <v>48852</v>
      </c>
      <c r="F1078" s="67">
        <v>4</v>
      </c>
      <c r="G1078" s="65" t="s">
        <v>4775</v>
      </c>
      <c r="H1078" s="32" t="s">
        <v>5357</v>
      </c>
      <c r="I1078" s="65" t="s">
        <v>4765</v>
      </c>
      <c r="J1078" s="65" t="s">
        <v>4776</v>
      </c>
      <c r="K1078" s="81" t="s">
        <v>4922</v>
      </c>
    </row>
    <row r="1079" spans="1:11" ht="45" customHeight="1">
      <c r="A1079" s="32">
        <v>104</v>
      </c>
      <c r="B1079" s="45" t="s">
        <v>776</v>
      </c>
      <c r="C1079" s="65" t="s">
        <v>88</v>
      </c>
      <c r="D1079" s="66"/>
      <c r="E1079" s="59">
        <v>114254</v>
      </c>
      <c r="F1079" s="67">
        <v>4</v>
      </c>
      <c r="G1079" s="65" t="s">
        <v>777</v>
      </c>
      <c r="H1079" s="32" t="s">
        <v>4777</v>
      </c>
      <c r="I1079" s="65" t="s">
        <v>177</v>
      </c>
      <c r="J1079" s="65" t="s">
        <v>4778</v>
      </c>
      <c r="K1079" s="75" t="s">
        <v>4779</v>
      </c>
    </row>
    <row r="1080" spans="1:11" ht="45" customHeight="1">
      <c r="A1080" s="31"/>
      <c r="B1080" s="58" t="s">
        <v>572</v>
      </c>
      <c r="C1080" s="31"/>
      <c r="D1080" s="31"/>
      <c r="E1080" s="47">
        <f>SUM(E1034:E1079)</f>
        <v>3176035</v>
      </c>
      <c r="F1080" s="31"/>
      <c r="G1080" s="31"/>
      <c r="H1080" s="31"/>
      <c r="I1080" s="31"/>
      <c r="J1080" s="31"/>
      <c r="K1080" s="86"/>
    </row>
    <row r="1081" spans="1:11" ht="45" customHeight="1">
      <c r="A1081" s="31"/>
      <c r="B1081" s="60" t="s">
        <v>601</v>
      </c>
      <c r="C1081" s="31"/>
      <c r="D1081" s="31"/>
      <c r="E1081" s="47"/>
      <c r="F1081" s="31"/>
      <c r="G1081" s="31"/>
      <c r="H1081" s="31"/>
      <c r="I1081" s="31"/>
      <c r="J1081" s="31"/>
      <c r="K1081" s="86"/>
    </row>
    <row r="1082" spans="1:11" ht="45" customHeight="1">
      <c r="A1082" s="32">
        <v>105</v>
      </c>
      <c r="B1082" s="45" t="s">
        <v>4923</v>
      </c>
      <c r="C1082" s="65" t="s">
        <v>88</v>
      </c>
      <c r="D1082" s="66"/>
      <c r="E1082" s="59">
        <v>76729</v>
      </c>
      <c r="F1082" s="67">
        <v>4</v>
      </c>
      <c r="G1082" s="65" t="s">
        <v>4924</v>
      </c>
      <c r="H1082" s="32" t="s">
        <v>4925</v>
      </c>
      <c r="I1082" s="65" t="s">
        <v>92</v>
      </c>
      <c r="J1082" s="65" t="s">
        <v>4926</v>
      </c>
      <c r="K1082" s="68" t="str">
        <f>"00030045"</f>
        <v>00030045</v>
      </c>
    </row>
    <row r="1083" spans="1:11" ht="45" customHeight="1">
      <c r="A1083" s="32">
        <v>105</v>
      </c>
      <c r="B1083" s="49" t="s">
        <v>4927</v>
      </c>
      <c r="C1083" s="65" t="s">
        <v>88</v>
      </c>
      <c r="D1083" s="66"/>
      <c r="E1083" s="59">
        <v>110923</v>
      </c>
      <c r="F1083" s="67">
        <v>4</v>
      </c>
      <c r="G1083" s="65" t="s">
        <v>4928</v>
      </c>
      <c r="H1083" s="32" t="s">
        <v>4929</v>
      </c>
      <c r="I1083" s="65" t="s">
        <v>107</v>
      </c>
      <c r="J1083" s="65" t="s">
        <v>544</v>
      </c>
      <c r="K1083" s="68" t="str">
        <f>"00027143"</f>
        <v>00027143</v>
      </c>
    </row>
    <row r="1084" spans="1:11" ht="45" customHeight="1">
      <c r="A1084" s="32">
        <v>105</v>
      </c>
      <c r="B1084" s="45" t="s">
        <v>4930</v>
      </c>
      <c r="C1084" s="65" t="s">
        <v>88</v>
      </c>
      <c r="D1084" s="66"/>
      <c r="E1084" s="59">
        <v>35900</v>
      </c>
      <c r="F1084" s="67">
        <v>4</v>
      </c>
      <c r="G1084" s="69" t="s">
        <v>4931</v>
      </c>
      <c r="H1084" s="32" t="s">
        <v>4932</v>
      </c>
      <c r="I1084" s="65" t="s">
        <v>2014</v>
      </c>
      <c r="J1084" s="65" t="s">
        <v>4933</v>
      </c>
      <c r="K1084" s="68" t="str">
        <f>"00027469"</f>
        <v>00027469</v>
      </c>
    </row>
    <row r="1085" spans="1:11" ht="45" customHeight="1">
      <c r="A1085" s="32">
        <v>105</v>
      </c>
      <c r="B1085" s="51" t="s">
        <v>4934</v>
      </c>
      <c r="C1085" s="65" t="s">
        <v>88</v>
      </c>
      <c r="D1085" s="66"/>
      <c r="E1085" s="59">
        <v>18370</v>
      </c>
      <c r="F1085" s="67">
        <v>4</v>
      </c>
      <c r="G1085" s="69" t="s">
        <v>4935</v>
      </c>
      <c r="H1085" s="32" t="s">
        <v>4936</v>
      </c>
      <c r="I1085" s="65" t="s">
        <v>107</v>
      </c>
      <c r="J1085" s="65" t="s">
        <v>3595</v>
      </c>
      <c r="K1085" s="68" t="str">
        <f>"00027629"</f>
        <v>00027629</v>
      </c>
    </row>
    <row r="1086" spans="1:11" ht="45" customHeight="1">
      <c r="A1086" s="32">
        <v>105</v>
      </c>
      <c r="B1086" s="45" t="s">
        <v>4930</v>
      </c>
      <c r="C1086" s="65" t="s">
        <v>88</v>
      </c>
      <c r="D1086" s="66"/>
      <c r="E1086" s="59">
        <v>32050</v>
      </c>
      <c r="F1086" s="67">
        <v>4</v>
      </c>
      <c r="G1086" s="65" t="s">
        <v>4937</v>
      </c>
      <c r="H1086" s="32" t="s">
        <v>4938</v>
      </c>
      <c r="I1086" s="65" t="s">
        <v>177</v>
      </c>
      <c r="J1086" s="65" t="s">
        <v>3583</v>
      </c>
      <c r="K1086" s="68" t="str">
        <f>"00031621"</f>
        <v>00031621</v>
      </c>
    </row>
    <row r="1087" spans="1:11" ht="45" customHeight="1">
      <c r="A1087" s="32">
        <v>105</v>
      </c>
      <c r="B1087" s="51" t="s">
        <v>602</v>
      </c>
      <c r="C1087" s="65" t="s">
        <v>88</v>
      </c>
      <c r="D1087" s="66"/>
      <c r="E1087" s="59">
        <v>113752</v>
      </c>
      <c r="F1087" s="67">
        <v>4</v>
      </c>
      <c r="G1087" s="79" t="s">
        <v>4939</v>
      </c>
      <c r="H1087" s="32" t="s">
        <v>4940</v>
      </c>
      <c r="I1087" s="65" t="s">
        <v>434</v>
      </c>
      <c r="J1087" s="65" t="s">
        <v>4941</v>
      </c>
      <c r="K1087" s="68" t="str">
        <f>"00028583"</f>
        <v>00028583</v>
      </c>
    </row>
    <row r="1088" spans="1:11" ht="45" customHeight="1">
      <c r="A1088" s="32">
        <v>105</v>
      </c>
      <c r="B1088" s="45" t="s">
        <v>4930</v>
      </c>
      <c r="C1088" s="65" t="s">
        <v>88</v>
      </c>
      <c r="D1088" s="66"/>
      <c r="E1088" s="59">
        <v>32050</v>
      </c>
      <c r="F1088" s="67">
        <v>4</v>
      </c>
      <c r="G1088" s="65" t="s">
        <v>4942</v>
      </c>
      <c r="H1088" s="32" t="s">
        <v>4938</v>
      </c>
      <c r="I1088" s="65" t="s">
        <v>177</v>
      </c>
      <c r="J1088" s="65" t="s">
        <v>3583</v>
      </c>
      <c r="K1088" s="68" t="str">
        <f>"00031605"</f>
        <v>00031605</v>
      </c>
    </row>
    <row r="1089" spans="1:11" ht="45" customHeight="1">
      <c r="A1089" s="32">
        <v>105</v>
      </c>
      <c r="B1089" s="51" t="s">
        <v>602</v>
      </c>
      <c r="C1089" s="65" t="s">
        <v>88</v>
      </c>
      <c r="D1089" s="66"/>
      <c r="E1089" s="59">
        <v>48430</v>
      </c>
      <c r="F1089" s="67">
        <v>4</v>
      </c>
      <c r="G1089" s="79" t="s">
        <v>4939</v>
      </c>
      <c r="H1089" s="32" t="s">
        <v>4940</v>
      </c>
      <c r="I1089" s="65" t="s">
        <v>434</v>
      </c>
      <c r="J1089" s="65" t="s">
        <v>4941</v>
      </c>
      <c r="K1089" s="68" t="str">
        <f>"00029011"</f>
        <v>00029011</v>
      </c>
    </row>
    <row r="1090" spans="1:11" ht="45" customHeight="1">
      <c r="A1090" s="32">
        <v>105</v>
      </c>
      <c r="B1090" s="45" t="s">
        <v>4943</v>
      </c>
      <c r="C1090" s="65" t="s">
        <v>88</v>
      </c>
      <c r="D1090" s="66"/>
      <c r="E1090" s="59">
        <v>114986</v>
      </c>
      <c r="F1090" s="67">
        <v>4</v>
      </c>
      <c r="G1090" s="65" t="s">
        <v>4944</v>
      </c>
      <c r="H1090" s="32" t="s">
        <v>4945</v>
      </c>
      <c r="I1090" s="65" t="s">
        <v>150</v>
      </c>
      <c r="J1090" s="65" t="s">
        <v>523</v>
      </c>
      <c r="K1090" s="68" t="str">
        <f>"00029010"</f>
        <v>00029010</v>
      </c>
    </row>
    <row r="1091" spans="1:11" ht="45" customHeight="1">
      <c r="A1091" s="32">
        <v>105</v>
      </c>
      <c r="B1091" s="45" t="s">
        <v>4946</v>
      </c>
      <c r="C1091" s="65" t="s">
        <v>88</v>
      </c>
      <c r="D1091" s="66"/>
      <c r="E1091" s="59">
        <v>45534</v>
      </c>
      <c r="F1091" s="67">
        <v>4</v>
      </c>
      <c r="G1091" s="65" t="s">
        <v>4947</v>
      </c>
      <c r="H1091" s="32" t="s">
        <v>4948</v>
      </c>
      <c r="I1091" s="65" t="s">
        <v>92</v>
      </c>
      <c r="J1091" s="65" t="s">
        <v>400</v>
      </c>
      <c r="K1091" s="68" t="str">
        <f>"00027604"</f>
        <v>00027604</v>
      </c>
    </row>
    <row r="1092" spans="1:11" ht="45" customHeight="1">
      <c r="A1092" s="32">
        <v>105</v>
      </c>
      <c r="B1092" s="45" t="s">
        <v>4949</v>
      </c>
      <c r="C1092" s="65" t="s">
        <v>88</v>
      </c>
      <c r="D1092" s="66"/>
      <c r="E1092" s="59">
        <v>80000</v>
      </c>
      <c r="F1092" s="67">
        <v>4</v>
      </c>
      <c r="G1092" s="65" t="s">
        <v>4950</v>
      </c>
      <c r="H1092" s="32" t="s">
        <v>4951</v>
      </c>
      <c r="I1092" s="65" t="s">
        <v>107</v>
      </c>
      <c r="J1092" s="65" t="s">
        <v>604</v>
      </c>
      <c r="K1092" s="68" t="str">
        <f>"00027626"</f>
        <v>00027626</v>
      </c>
    </row>
    <row r="1093" spans="1:11" ht="45" customHeight="1">
      <c r="A1093" s="32">
        <v>105</v>
      </c>
      <c r="B1093" s="45" t="s">
        <v>4952</v>
      </c>
      <c r="C1093" s="65" t="s">
        <v>88</v>
      </c>
      <c r="D1093" s="66"/>
      <c r="E1093" s="59">
        <v>102101</v>
      </c>
      <c r="F1093" s="67">
        <v>4</v>
      </c>
      <c r="G1093" s="65" t="s">
        <v>4953</v>
      </c>
      <c r="H1093" s="32" t="s">
        <v>4954</v>
      </c>
      <c r="I1093" s="65" t="s">
        <v>107</v>
      </c>
      <c r="J1093" s="70" t="s">
        <v>4955</v>
      </c>
      <c r="K1093" s="68" t="str">
        <f>"00032045"</f>
        <v>00032045</v>
      </c>
    </row>
    <row r="1094" spans="1:11" ht="45" customHeight="1">
      <c r="A1094" s="32">
        <v>105</v>
      </c>
      <c r="B1094" s="45" t="s">
        <v>4966</v>
      </c>
      <c r="C1094" s="65" t="s">
        <v>88</v>
      </c>
      <c r="D1094" s="66"/>
      <c r="E1094" s="59">
        <v>9067</v>
      </c>
      <c r="F1094" s="67">
        <v>4</v>
      </c>
      <c r="G1094" s="65" t="s">
        <v>4967</v>
      </c>
      <c r="H1094" s="32" t="s">
        <v>4968</v>
      </c>
      <c r="I1094" s="65" t="s">
        <v>100</v>
      </c>
      <c r="J1094" s="65" t="s">
        <v>468</v>
      </c>
      <c r="K1094" s="68" t="str">
        <f>"00027212"</f>
        <v>00027212</v>
      </c>
    </row>
    <row r="1095" spans="1:11" ht="45" customHeight="1">
      <c r="A1095" s="32">
        <v>105</v>
      </c>
      <c r="B1095" s="45" t="s">
        <v>4966</v>
      </c>
      <c r="C1095" s="65" t="s">
        <v>88</v>
      </c>
      <c r="D1095" s="66"/>
      <c r="E1095" s="59">
        <v>9067</v>
      </c>
      <c r="F1095" s="67">
        <v>4</v>
      </c>
      <c r="G1095" s="65" t="s">
        <v>4969</v>
      </c>
      <c r="H1095" s="32" t="s">
        <v>4968</v>
      </c>
      <c r="I1095" s="65" t="s">
        <v>100</v>
      </c>
      <c r="J1095" s="65" t="s">
        <v>468</v>
      </c>
      <c r="K1095" s="68" t="str">
        <f>"00027217"</f>
        <v>00027217</v>
      </c>
    </row>
    <row r="1096" spans="1:11" ht="45" customHeight="1">
      <c r="A1096" s="32">
        <v>105</v>
      </c>
      <c r="B1096" s="45" t="s">
        <v>4966</v>
      </c>
      <c r="C1096" s="65" t="s">
        <v>88</v>
      </c>
      <c r="D1096" s="66"/>
      <c r="E1096" s="59">
        <v>12478</v>
      </c>
      <c r="F1096" s="67">
        <v>4</v>
      </c>
      <c r="G1096" s="71" t="s">
        <v>4970</v>
      </c>
      <c r="H1096" s="32" t="s">
        <v>4971</v>
      </c>
      <c r="I1096" s="65" t="s">
        <v>107</v>
      </c>
      <c r="J1096" s="65" t="s">
        <v>462</v>
      </c>
      <c r="K1096" s="68" t="str">
        <f>"00029070"</f>
        <v>00029070</v>
      </c>
    </row>
    <row r="1097" spans="1:11" ht="45" customHeight="1">
      <c r="A1097" s="31"/>
      <c r="B1097" s="58" t="s">
        <v>529</v>
      </c>
      <c r="C1097" s="31"/>
      <c r="D1097" s="31"/>
      <c r="E1097" s="47">
        <f>SUM(E1082:E1096)</f>
        <v>841437</v>
      </c>
      <c r="F1097" s="31"/>
      <c r="G1097" s="31"/>
      <c r="H1097" s="31"/>
      <c r="I1097" s="31"/>
      <c r="J1097" s="31"/>
      <c r="K1097" s="31"/>
    </row>
    <row r="1098" spans="1:11" ht="45" customHeight="1">
      <c r="A1098" s="31"/>
      <c r="B1098" s="60" t="s">
        <v>28</v>
      </c>
      <c r="C1098" s="31"/>
      <c r="D1098" s="31"/>
      <c r="E1098" s="47"/>
      <c r="F1098" s="31"/>
      <c r="G1098" s="31"/>
      <c r="H1098" s="31"/>
      <c r="I1098" s="31"/>
      <c r="J1098" s="31"/>
      <c r="K1098" s="31"/>
    </row>
    <row r="1099" spans="1:11" ht="45" customHeight="1">
      <c r="A1099" s="32">
        <v>105</v>
      </c>
      <c r="B1099" s="45" t="s">
        <v>5094</v>
      </c>
      <c r="C1099" s="65" t="s">
        <v>88</v>
      </c>
      <c r="D1099" s="66"/>
      <c r="E1099" s="59">
        <v>18828</v>
      </c>
      <c r="F1099" s="67">
        <v>4</v>
      </c>
      <c r="G1099" s="69" t="s">
        <v>5095</v>
      </c>
      <c r="H1099" s="32" t="s">
        <v>5096</v>
      </c>
      <c r="I1099" s="65" t="s">
        <v>107</v>
      </c>
      <c r="J1099" s="69" t="s">
        <v>5097</v>
      </c>
      <c r="K1099" s="68" t="str">
        <f>"00028541"</f>
        <v>00028541</v>
      </c>
    </row>
    <row r="1100" spans="1:11" ht="45" customHeight="1">
      <c r="A1100" s="32">
        <v>105</v>
      </c>
      <c r="B1100" s="51" t="s">
        <v>5098</v>
      </c>
      <c r="C1100" s="65" t="s">
        <v>88</v>
      </c>
      <c r="D1100" s="66"/>
      <c r="E1100" s="59">
        <v>97857</v>
      </c>
      <c r="F1100" s="67">
        <v>4</v>
      </c>
      <c r="G1100" s="65" t="s">
        <v>5099</v>
      </c>
      <c r="H1100" s="32" t="s">
        <v>5100</v>
      </c>
      <c r="I1100" s="69" t="s">
        <v>1814</v>
      </c>
      <c r="J1100" s="69" t="s">
        <v>5101</v>
      </c>
      <c r="K1100" s="68" t="str">
        <f>"00026349"</f>
        <v>00026349</v>
      </c>
    </row>
    <row r="1101" spans="1:11" ht="45" customHeight="1">
      <c r="A1101" s="32">
        <v>105</v>
      </c>
      <c r="B1101" s="49" t="s">
        <v>609</v>
      </c>
      <c r="C1101" s="65" t="s">
        <v>88</v>
      </c>
      <c r="D1101" s="66"/>
      <c r="E1101" s="59">
        <v>82699</v>
      </c>
      <c r="F1101" s="67">
        <v>4</v>
      </c>
      <c r="G1101" s="65" t="s">
        <v>5102</v>
      </c>
      <c r="H1101" s="32" t="s">
        <v>5103</v>
      </c>
      <c r="I1101" s="65" t="s">
        <v>92</v>
      </c>
      <c r="J1101" s="65" t="s">
        <v>422</v>
      </c>
      <c r="K1101" s="68" t="str">
        <f>"00027491"</f>
        <v>00027491</v>
      </c>
    </row>
    <row r="1102" spans="1:11" ht="45" customHeight="1">
      <c r="A1102" s="32">
        <v>105</v>
      </c>
      <c r="B1102" s="45" t="s">
        <v>5104</v>
      </c>
      <c r="C1102" s="65" t="s">
        <v>88</v>
      </c>
      <c r="D1102" s="66"/>
      <c r="E1102" s="59">
        <v>73049</v>
      </c>
      <c r="F1102" s="67">
        <v>4</v>
      </c>
      <c r="G1102" s="65" t="s">
        <v>5105</v>
      </c>
      <c r="H1102" s="32" t="s">
        <v>5050</v>
      </c>
      <c r="I1102" s="65" t="s">
        <v>165</v>
      </c>
      <c r="J1102" s="65" t="s">
        <v>581</v>
      </c>
      <c r="K1102" s="68" t="str">
        <f>"00031517"</f>
        <v>00031517</v>
      </c>
    </row>
    <row r="1103" spans="1:11" ht="45" customHeight="1">
      <c r="A1103" s="32">
        <v>105</v>
      </c>
      <c r="B1103" s="45" t="s">
        <v>5106</v>
      </c>
      <c r="C1103" s="65" t="s">
        <v>88</v>
      </c>
      <c r="D1103" s="66"/>
      <c r="E1103" s="59">
        <v>23880</v>
      </c>
      <c r="F1103" s="67">
        <v>4</v>
      </c>
      <c r="G1103" s="65" t="s">
        <v>5107</v>
      </c>
      <c r="H1103" s="32" t="s">
        <v>5108</v>
      </c>
      <c r="I1103" s="65" t="s">
        <v>275</v>
      </c>
      <c r="J1103" s="65" t="s">
        <v>486</v>
      </c>
      <c r="K1103" s="68" t="str">
        <f>"00032717"</f>
        <v>00032717</v>
      </c>
    </row>
    <row r="1104" spans="1:11" ht="45" customHeight="1">
      <c r="A1104" s="32">
        <v>105</v>
      </c>
      <c r="B1104" s="45" t="s">
        <v>611</v>
      </c>
      <c r="C1104" s="65" t="s">
        <v>88</v>
      </c>
      <c r="D1104" s="66"/>
      <c r="E1104" s="59">
        <v>116211</v>
      </c>
      <c r="F1104" s="67">
        <v>4</v>
      </c>
      <c r="G1104" s="70" t="s">
        <v>5109</v>
      </c>
      <c r="H1104" s="32" t="s">
        <v>5110</v>
      </c>
      <c r="I1104" s="65" t="s">
        <v>107</v>
      </c>
      <c r="J1104" s="70" t="s">
        <v>5111</v>
      </c>
      <c r="K1104" s="68" t="str">
        <f>"00028648"</f>
        <v>00028648</v>
      </c>
    </row>
    <row r="1105" spans="1:11" ht="45" customHeight="1">
      <c r="A1105" s="32">
        <v>105</v>
      </c>
      <c r="B1105" s="45" t="s">
        <v>611</v>
      </c>
      <c r="C1105" s="65" t="s">
        <v>88</v>
      </c>
      <c r="D1105" s="66"/>
      <c r="E1105" s="59">
        <v>5952</v>
      </c>
      <c r="F1105" s="67">
        <v>4</v>
      </c>
      <c r="G1105" s="65" t="s">
        <v>5112</v>
      </c>
      <c r="H1105" s="32" t="s">
        <v>5113</v>
      </c>
      <c r="I1105" s="65" t="s">
        <v>102</v>
      </c>
      <c r="J1105" s="65" t="s">
        <v>5114</v>
      </c>
      <c r="K1105" s="68" t="str">
        <f>"00030498"</f>
        <v>00030498</v>
      </c>
    </row>
    <row r="1106" spans="1:11" ht="45" customHeight="1">
      <c r="A1106" s="32">
        <v>105</v>
      </c>
      <c r="B1106" s="45" t="s">
        <v>5115</v>
      </c>
      <c r="C1106" s="65" t="s">
        <v>88</v>
      </c>
      <c r="D1106" s="66"/>
      <c r="E1106" s="59">
        <v>80000</v>
      </c>
      <c r="F1106" s="67">
        <v>4</v>
      </c>
      <c r="G1106" s="65" t="s">
        <v>5116</v>
      </c>
      <c r="H1106" s="32" t="s">
        <v>5117</v>
      </c>
      <c r="I1106" s="65" t="s">
        <v>107</v>
      </c>
      <c r="J1106" s="69" t="s">
        <v>5118</v>
      </c>
      <c r="K1106" s="68" t="str">
        <f>"00028200"</f>
        <v>00028200</v>
      </c>
    </row>
    <row r="1107" spans="1:11" ht="45" customHeight="1">
      <c r="A1107" s="32">
        <v>105</v>
      </c>
      <c r="B1107" s="45" t="s">
        <v>5119</v>
      </c>
      <c r="C1107" s="65" t="s">
        <v>88</v>
      </c>
      <c r="D1107" s="66"/>
      <c r="E1107" s="59">
        <v>76324</v>
      </c>
      <c r="F1107" s="67">
        <v>4</v>
      </c>
      <c r="G1107" s="65" t="s">
        <v>5120</v>
      </c>
      <c r="H1107" s="32" t="s">
        <v>5121</v>
      </c>
      <c r="I1107" s="65" t="s">
        <v>107</v>
      </c>
      <c r="J1107" s="65" t="s">
        <v>5122</v>
      </c>
      <c r="K1107" s="68" t="str">
        <f>"00028374"</f>
        <v>00028374</v>
      </c>
    </row>
    <row r="1108" spans="1:11" ht="45" customHeight="1">
      <c r="A1108" s="32">
        <v>105</v>
      </c>
      <c r="B1108" s="45" t="s">
        <v>5125</v>
      </c>
      <c r="C1108" s="65" t="s">
        <v>88</v>
      </c>
      <c r="D1108" s="66"/>
      <c r="E1108" s="59">
        <v>41038</v>
      </c>
      <c r="F1108" s="67">
        <v>4</v>
      </c>
      <c r="G1108" s="65" t="s">
        <v>5126</v>
      </c>
      <c r="H1108" s="32" t="s">
        <v>5127</v>
      </c>
      <c r="I1108" s="65" t="s">
        <v>107</v>
      </c>
      <c r="J1108" s="69" t="s">
        <v>5128</v>
      </c>
      <c r="K1108" s="68" t="str">
        <f>"00027114"</f>
        <v>00027114</v>
      </c>
    </row>
    <row r="1109" spans="1:11" ht="45" customHeight="1">
      <c r="A1109" s="32">
        <v>105</v>
      </c>
      <c r="B1109" s="45" t="s">
        <v>5129</v>
      </c>
      <c r="C1109" s="65" t="s">
        <v>88</v>
      </c>
      <c r="D1109" s="66"/>
      <c r="E1109" s="59">
        <v>1902</v>
      </c>
      <c r="F1109" s="67">
        <v>4</v>
      </c>
      <c r="G1109" s="65" t="s">
        <v>5130</v>
      </c>
      <c r="H1109" s="32" t="s">
        <v>5127</v>
      </c>
      <c r="I1109" s="65" t="s">
        <v>107</v>
      </c>
      <c r="J1109" s="69" t="s">
        <v>5128</v>
      </c>
      <c r="K1109" s="68" t="str">
        <f>"00027114"</f>
        <v>00027114</v>
      </c>
    </row>
    <row r="1110" spans="1:11" ht="45" customHeight="1">
      <c r="A1110" s="31"/>
      <c r="B1110" s="58" t="s">
        <v>608</v>
      </c>
      <c r="C1110" s="31"/>
      <c r="D1110" s="31"/>
      <c r="E1110" s="47">
        <f>SUM(E1099:E1109)</f>
        <v>617740</v>
      </c>
      <c r="F1110" s="31"/>
      <c r="G1110" s="31"/>
      <c r="H1110" s="31"/>
      <c r="I1110" s="31"/>
      <c r="J1110" s="31"/>
      <c r="K1110" s="31"/>
    </row>
    <row r="1111" spans="1:11" ht="45" customHeight="1">
      <c r="A1111" s="31"/>
      <c r="B1111" s="60" t="s">
        <v>68</v>
      </c>
      <c r="C1111" s="31"/>
      <c r="D1111" s="31"/>
      <c r="E1111" s="47"/>
      <c r="F1111" s="31"/>
      <c r="G1111" s="31"/>
      <c r="H1111" s="31"/>
      <c r="I1111" s="31"/>
      <c r="J1111" s="31"/>
      <c r="K1111" s="31"/>
    </row>
    <row r="1112" spans="1:11" ht="45" customHeight="1">
      <c r="A1112" s="32">
        <v>105</v>
      </c>
      <c r="B1112" s="45" t="s">
        <v>621</v>
      </c>
      <c r="C1112" s="65" t="s">
        <v>88</v>
      </c>
      <c r="D1112" s="66"/>
      <c r="E1112" s="59">
        <v>69192</v>
      </c>
      <c r="F1112" s="67">
        <v>4</v>
      </c>
      <c r="G1112" s="65" t="s">
        <v>5151</v>
      </c>
      <c r="H1112" s="32" t="s">
        <v>5152</v>
      </c>
      <c r="I1112" s="65" t="s">
        <v>104</v>
      </c>
      <c r="J1112" s="65" t="s">
        <v>421</v>
      </c>
      <c r="K1112" s="75" t="s">
        <v>5251</v>
      </c>
    </row>
    <row r="1113" spans="1:11" ht="45" customHeight="1">
      <c r="A1113" s="32">
        <v>105</v>
      </c>
      <c r="B1113" s="45" t="s">
        <v>5153</v>
      </c>
      <c r="C1113" s="65" t="s">
        <v>88</v>
      </c>
      <c r="D1113" s="66"/>
      <c r="E1113" s="59">
        <v>119226</v>
      </c>
      <c r="F1113" s="67">
        <v>4</v>
      </c>
      <c r="G1113" s="65" t="s">
        <v>5154</v>
      </c>
      <c r="H1113" s="32" t="s">
        <v>4412</v>
      </c>
      <c r="I1113" s="65" t="s">
        <v>449</v>
      </c>
      <c r="J1113" s="65" t="s">
        <v>455</v>
      </c>
      <c r="K1113" s="75" t="s">
        <v>5252</v>
      </c>
    </row>
    <row r="1114" spans="1:11" ht="45" customHeight="1">
      <c r="A1114" s="32">
        <v>105</v>
      </c>
      <c r="B1114" s="45" t="s">
        <v>617</v>
      </c>
      <c r="C1114" s="65" t="s">
        <v>88</v>
      </c>
      <c r="D1114" s="66"/>
      <c r="E1114" s="59">
        <v>127231</v>
      </c>
      <c r="F1114" s="67">
        <v>4</v>
      </c>
      <c r="G1114" s="65" t="s">
        <v>5155</v>
      </c>
      <c r="H1114" s="32" t="s">
        <v>5156</v>
      </c>
      <c r="I1114" s="65" t="s">
        <v>107</v>
      </c>
      <c r="J1114" s="65" t="s">
        <v>5157</v>
      </c>
      <c r="K1114" s="75" t="s">
        <v>5253</v>
      </c>
    </row>
    <row r="1115" spans="1:11" ht="45" customHeight="1">
      <c r="A1115" s="32">
        <v>105</v>
      </c>
      <c r="B1115" s="45" t="s">
        <v>617</v>
      </c>
      <c r="C1115" s="65" t="s">
        <v>88</v>
      </c>
      <c r="D1115" s="66"/>
      <c r="E1115" s="59">
        <v>21679</v>
      </c>
      <c r="F1115" s="67">
        <v>4</v>
      </c>
      <c r="G1115" s="65" t="s">
        <v>5158</v>
      </c>
      <c r="H1115" s="32" t="s">
        <v>5159</v>
      </c>
      <c r="I1115" s="65" t="s">
        <v>107</v>
      </c>
      <c r="J1115" s="65" t="s">
        <v>713</v>
      </c>
      <c r="K1115" s="68" t="s">
        <v>5138</v>
      </c>
    </row>
    <row r="1116" spans="1:11" ht="45" customHeight="1">
      <c r="A1116" s="32">
        <v>105</v>
      </c>
      <c r="B1116" s="45" t="s">
        <v>5160</v>
      </c>
      <c r="C1116" s="65" t="s">
        <v>88</v>
      </c>
      <c r="D1116" s="66"/>
      <c r="E1116" s="59">
        <v>9610</v>
      </c>
      <c r="F1116" s="67">
        <v>4</v>
      </c>
      <c r="G1116" s="65" t="s">
        <v>5161</v>
      </c>
      <c r="H1116" s="32" t="s">
        <v>5162</v>
      </c>
      <c r="I1116" s="65" t="s">
        <v>107</v>
      </c>
      <c r="J1116" s="65" t="s">
        <v>619</v>
      </c>
      <c r="K1116" s="68" t="s">
        <v>5139</v>
      </c>
    </row>
    <row r="1117" spans="1:11" ht="45" customHeight="1">
      <c r="A1117" s="32">
        <v>105</v>
      </c>
      <c r="B1117" s="45" t="s">
        <v>614</v>
      </c>
      <c r="C1117" s="65" t="s">
        <v>88</v>
      </c>
      <c r="D1117" s="66"/>
      <c r="E1117" s="59">
        <v>77885</v>
      </c>
      <c r="F1117" s="67">
        <v>4</v>
      </c>
      <c r="G1117" s="65" t="s">
        <v>5163</v>
      </c>
      <c r="H1117" s="32" t="s">
        <v>5164</v>
      </c>
      <c r="I1117" s="65" t="s">
        <v>180</v>
      </c>
      <c r="J1117" s="65" t="s">
        <v>4583</v>
      </c>
      <c r="K1117" s="75" t="s">
        <v>5254</v>
      </c>
    </row>
    <row r="1118" spans="1:11" ht="45" customHeight="1">
      <c r="A1118" s="32">
        <v>105</v>
      </c>
      <c r="B1118" s="45" t="s">
        <v>614</v>
      </c>
      <c r="C1118" s="65" t="s">
        <v>88</v>
      </c>
      <c r="D1118" s="66"/>
      <c r="E1118" s="59">
        <v>68556</v>
      </c>
      <c r="F1118" s="67">
        <v>4</v>
      </c>
      <c r="G1118" s="69" t="s">
        <v>5165</v>
      </c>
      <c r="H1118" s="32" t="s">
        <v>5166</v>
      </c>
      <c r="I1118" s="69" t="s">
        <v>2026</v>
      </c>
      <c r="J1118" s="72" t="s">
        <v>5167</v>
      </c>
      <c r="K1118" s="68" t="s">
        <v>5140</v>
      </c>
    </row>
    <row r="1119" spans="1:11" ht="45" customHeight="1">
      <c r="A1119" s="32">
        <v>105</v>
      </c>
      <c r="B1119" s="45" t="s">
        <v>618</v>
      </c>
      <c r="C1119" s="65" t="s">
        <v>88</v>
      </c>
      <c r="D1119" s="66"/>
      <c r="E1119" s="59">
        <v>31663</v>
      </c>
      <c r="F1119" s="67">
        <v>4</v>
      </c>
      <c r="G1119" s="65" t="s">
        <v>5168</v>
      </c>
      <c r="H1119" s="32" t="s">
        <v>5169</v>
      </c>
      <c r="I1119" s="65" t="s">
        <v>275</v>
      </c>
      <c r="J1119" s="65" t="s">
        <v>486</v>
      </c>
      <c r="K1119" s="68" t="s">
        <v>5141</v>
      </c>
    </row>
    <row r="1120" spans="1:11" ht="45" customHeight="1">
      <c r="A1120" s="32">
        <v>105</v>
      </c>
      <c r="B1120" s="45" t="s">
        <v>5170</v>
      </c>
      <c r="C1120" s="65" t="s">
        <v>88</v>
      </c>
      <c r="D1120" s="66"/>
      <c r="E1120" s="59">
        <v>56509</v>
      </c>
      <c r="F1120" s="67">
        <v>4</v>
      </c>
      <c r="G1120" s="65" t="s">
        <v>622</v>
      </c>
      <c r="H1120" s="32" t="s">
        <v>5171</v>
      </c>
      <c r="I1120" s="65" t="s">
        <v>107</v>
      </c>
      <c r="J1120" s="65" t="s">
        <v>399</v>
      </c>
      <c r="K1120" s="68" t="s">
        <v>5142</v>
      </c>
    </row>
    <row r="1121" spans="1:11" ht="45" customHeight="1">
      <c r="A1121" s="32">
        <v>105</v>
      </c>
      <c r="B1121" s="45" t="s">
        <v>5172</v>
      </c>
      <c r="C1121" s="65" t="s">
        <v>88</v>
      </c>
      <c r="D1121" s="66"/>
      <c r="E1121" s="59">
        <v>84420</v>
      </c>
      <c r="F1121" s="67">
        <v>4</v>
      </c>
      <c r="G1121" s="65" t="s">
        <v>5173</v>
      </c>
      <c r="H1121" s="32" t="s">
        <v>3616</v>
      </c>
      <c r="I1121" s="65" t="s">
        <v>107</v>
      </c>
      <c r="J1121" s="65" t="s">
        <v>3595</v>
      </c>
      <c r="K1121" s="68" t="s">
        <v>5143</v>
      </c>
    </row>
    <row r="1122" spans="1:11" ht="45" customHeight="1">
      <c r="A1122" s="32">
        <v>105</v>
      </c>
      <c r="B1122" s="45" t="s">
        <v>620</v>
      </c>
      <c r="C1122" s="65" t="s">
        <v>88</v>
      </c>
      <c r="D1122" s="66"/>
      <c r="E1122" s="59">
        <v>50000</v>
      </c>
      <c r="F1122" s="67">
        <v>4</v>
      </c>
      <c r="G1122" s="65" t="s">
        <v>5174</v>
      </c>
      <c r="H1122" s="32" t="s">
        <v>5175</v>
      </c>
      <c r="I1122" s="65" t="s">
        <v>275</v>
      </c>
      <c r="J1122" s="65" t="s">
        <v>486</v>
      </c>
      <c r="K1122" s="75" t="s">
        <v>5255</v>
      </c>
    </row>
    <row r="1123" spans="1:11" ht="45" customHeight="1">
      <c r="A1123" s="32">
        <v>105</v>
      </c>
      <c r="B1123" s="45" t="s">
        <v>5176</v>
      </c>
      <c r="C1123" s="65" t="s">
        <v>88</v>
      </c>
      <c r="D1123" s="66"/>
      <c r="E1123" s="59">
        <v>4577</v>
      </c>
      <c r="F1123" s="67">
        <v>4</v>
      </c>
      <c r="G1123" s="69" t="s">
        <v>5177</v>
      </c>
      <c r="H1123" s="32" t="s">
        <v>4295</v>
      </c>
      <c r="I1123" s="65" t="s">
        <v>107</v>
      </c>
      <c r="J1123" s="69" t="s">
        <v>5178</v>
      </c>
      <c r="K1123" s="68" t="s">
        <v>5144</v>
      </c>
    </row>
    <row r="1124" spans="1:11" ht="45" customHeight="1">
      <c r="A1124" s="32">
        <v>105</v>
      </c>
      <c r="B1124" s="45" t="s">
        <v>615</v>
      </c>
      <c r="C1124" s="65" t="s">
        <v>88</v>
      </c>
      <c r="D1124" s="66"/>
      <c r="E1124" s="59">
        <v>38093</v>
      </c>
      <c r="F1124" s="67">
        <v>4</v>
      </c>
      <c r="G1124" s="69" t="s">
        <v>5179</v>
      </c>
      <c r="H1124" s="32" t="s">
        <v>5162</v>
      </c>
      <c r="I1124" s="65" t="s">
        <v>107</v>
      </c>
      <c r="J1124" s="65" t="s">
        <v>619</v>
      </c>
      <c r="K1124" s="75" t="s">
        <v>5256</v>
      </c>
    </row>
    <row r="1125" spans="1:11" ht="45" customHeight="1">
      <c r="A1125" s="32">
        <v>105</v>
      </c>
      <c r="B1125" s="45" t="s">
        <v>5176</v>
      </c>
      <c r="C1125" s="65" t="s">
        <v>88</v>
      </c>
      <c r="D1125" s="66"/>
      <c r="E1125" s="59">
        <v>60851</v>
      </c>
      <c r="F1125" s="67">
        <v>4</v>
      </c>
      <c r="G1125" s="65" t="s">
        <v>5180</v>
      </c>
      <c r="H1125" s="32" t="s">
        <v>5181</v>
      </c>
      <c r="I1125" s="65" t="s">
        <v>107</v>
      </c>
      <c r="J1125" s="65" t="s">
        <v>604</v>
      </c>
      <c r="K1125" s="75" t="s">
        <v>5257</v>
      </c>
    </row>
    <row r="1126" spans="1:11" ht="45" customHeight="1">
      <c r="A1126" s="32">
        <v>105</v>
      </c>
      <c r="B1126" s="45" t="s">
        <v>5182</v>
      </c>
      <c r="C1126" s="65" t="s">
        <v>88</v>
      </c>
      <c r="D1126" s="66"/>
      <c r="E1126" s="59">
        <v>9342</v>
      </c>
      <c r="F1126" s="67">
        <v>4</v>
      </c>
      <c r="G1126" s="65" t="s">
        <v>5183</v>
      </c>
      <c r="H1126" s="32" t="s">
        <v>5184</v>
      </c>
      <c r="I1126" s="65" t="s">
        <v>107</v>
      </c>
      <c r="J1126" s="65" t="s">
        <v>483</v>
      </c>
      <c r="K1126" s="68" t="s">
        <v>5145</v>
      </c>
    </row>
    <row r="1127" spans="1:11" ht="45" customHeight="1">
      <c r="A1127" s="32">
        <v>105</v>
      </c>
      <c r="B1127" s="45" t="s">
        <v>5185</v>
      </c>
      <c r="C1127" s="65" t="s">
        <v>88</v>
      </c>
      <c r="D1127" s="66"/>
      <c r="E1127" s="59">
        <v>92489</v>
      </c>
      <c r="F1127" s="67">
        <v>4</v>
      </c>
      <c r="G1127" s="69" t="s">
        <v>5186</v>
      </c>
      <c r="H1127" s="32" t="s">
        <v>5187</v>
      </c>
      <c r="I1127" s="65" t="s">
        <v>111</v>
      </c>
      <c r="J1127" s="65" t="s">
        <v>5188</v>
      </c>
      <c r="K1127" s="75" t="s">
        <v>5258</v>
      </c>
    </row>
    <row r="1128" spans="1:11" ht="45" customHeight="1">
      <c r="A1128" s="32">
        <v>105</v>
      </c>
      <c r="B1128" s="45" t="s">
        <v>5185</v>
      </c>
      <c r="C1128" s="65" t="s">
        <v>88</v>
      </c>
      <c r="D1128" s="66"/>
      <c r="E1128" s="59">
        <v>124302</v>
      </c>
      <c r="F1128" s="67">
        <v>4</v>
      </c>
      <c r="G1128" s="65" t="s">
        <v>5189</v>
      </c>
      <c r="H1128" s="32" t="s">
        <v>5190</v>
      </c>
      <c r="I1128" s="65" t="s">
        <v>464</v>
      </c>
      <c r="J1128" s="65" t="s">
        <v>5191</v>
      </c>
      <c r="K1128" s="75" t="s">
        <v>5259</v>
      </c>
    </row>
    <row r="1129" spans="1:11" ht="45" customHeight="1">
      <c r="A1129" s="32">
        <v>105</v>
      </c>
      <c r="B1129" s="45" t="s">
        <v>5192</v>
      </c>
      <c r="C1129" s="65" t="s">
        <v>88</v>
      </c>
      <c r="D1129" s="66"/>
      <c r="E1129" s="59">
        <v>75054</v>
      </c>
      <c r="F1129" s="67">
        <v>4</v>
      </c>
      <c r="G1129" s="79" t="s">
        <v>5193</v>
      </c>
      <c r="H1129" s="32" t="s">
        <v>5194</v>
      </c>
      <c r="I1129" s="65" t="s">
        <v>179</v>
      </c>
      <c r="J1129" s="65" t="s">
        <v>5195</v>
      </c>
      <c r="K1129" s="75" t="s">
        <v>5260</v>
      </c>
    </row>
    <row r="1130" spans="1:11" ht="45" customHeight="1">
      <c r="A1130" s="32">
        <v>105</v>
      </c>
      <c r="B1130" s="45" t="s">
        <v>5196</v>
      </c>
      <c r="C1130" s="65" t="s">
        <v>88</v>
      </c>
      <c r="D1130" s="66"/>
      <c r="E1130" s="59">
        <v>30000</v>
      </c>
      <c r="F1130" s="67">
        <v>4</v>
      </c>
      <c r="G1130" s="65" t="s">
        <v>5197</v>
      </c>
      <c r="H1130" s="32" t="s">
        <v>4870</v>
      </c>
      <c r="I1130" s="65" t="s">
        <v>1053</v>
      </c>
      <c r="J1130" s="65" t="s">
        <v>5198</v>
      </c>
      <c r="K1130" s="68" t="s">
        <v>5146</v>
      </c>
    </row>
    <row r="1131" spans="1:11" ht="45" customHeight="1">
      <c r="A1131" s="32">
        <v>105</v>
      </c>
      <c r="B1131" s="45" t="s">
        <v>615</v>
      </c>
      <c r="C1131" s="65" t="s">
        <v>88</v>
      </c>
      <c r="D1131" s="66"/>
      <c r="E1131" s="59">
        <v>59208</v>
      </c>
      <c r="F1131" s="67">
        <v>4</v>
      </c>
      <c r="G1131" s="65" t="s">
        <v>5180</v>
      </c>
      <c r="H1131" s="32" t="s">
        <v>5181</v>
      </c>
      <c r="I1131" s="65" t="s">
        <v>107</v>
      </c>
      <c r="J1131" s="65" t="s">
        <v>604</v>
      </c>
      <c r="K1131" s="75" t="s">
        <v>5261</v>
      </c>
    </row>
    <row r="1132" spans="1:11" ht="45" customHeight="1">
      <c r="A1132" s="32">
        <v>105</v>
      </c>
      <c r="B1132" s="45" t="s">
        <v>5199</v>
      </c>
      <c r="C1132" s="65" t="s">
        <v>88</v>
      </c>
      <c r="D1132" s="66"/>
      <c r="E1132" s="59">
        <v>40000</v>
      </c>
      <c r="F1132" s="67">
        <v>4</v>
      </c>
      <c r="G1132" s="65" t="s">
        <v>5197</v>
      </c>
      <c r="H1132" s="32" t="s">
        <v>4870</v>
      </c>
      <c r="I1132" s="65" t="s">
        <v>1053</v>
      </c>
      <c r="J1132" s="65" t="s">
        <v>5198</v>
      </c>
      <c r="K1132" s="68" t="s">
        <v>5146</v>
      </c>
    </row>
    <row r="1133" spans="1:11" ht="45" customHeight="1">
      <c r="A1133" s="32">
        <v>105</v>
      </c>
      <c r="B1133" s="45" t="s">
        <v>5200</v>
      </c>
      <c r="C1133" s="65" t="s">
        <v>88</v>
      </c>
      <c r="D1133" s="66"/>
      <c r="E1133" s="59">
        <v>31937</v>
      </c>
      <c r="F1133" s="67">
        <v>4</v>
      </c>
      <c r="G1133" s="65" t="s">
        <v>5201</v>
      </c>
      <c r="H1133" s="32" t="s">
        <v>5202</v>
      </c>
      <c r="I1133" s="65" t="s">
        <v>120</v>
      </c>
      <c r="J1133" s="65" t="s">
        <v>418</v>
      </c>
      <c r="K1133" s="75" t="s">
        <v>5262</v>
      </c>
    </row>
    <row r="1134" spans="1:11" ht="45" customHeight="1">
      <c r="A1134" s="32">
        <v>105</v>
      </c>
      <c r="B1134" s="45" t="s">
        <v>5192</v>
      </c>
      <c r="C1134" s="65" t="s">
        <v>88</v>
      </c>
      <c r="D1134" s="66"/>
      <c r="E1134" s="59">
        <v>60318</v>
      </c>
      <c r="F1134" s="67">
        <v>4</v>
      </c>
      <c r="G1134" s="65" t="s">
        <v>5203</v>
      </c>
      <c r="H1134" s="32" t="s">
        <v>4879</v>
      </c>
      <c r="I1134" s="65" t="s">
        <v>100</v>
      </c>
      <c r="J1134" s="65" t="s">
        <v>5204</v>
      </c>
      <c r="K1134" s="75" t="s">
        <v>5263</v>
      </c>
    </row>
    <row r="1135" spans="1:11" ht="45" customHeight="1">
      <c r="A1135" s="32">
        <v>105</v>
      </c>
      <c r="B1135" s="45" t="s">
        <v>5192</v>
      </c>
      <c r="C1135" s="65" t="s">
        <v>88</v>
      </c>
      <c r="D1135" s="66"/>
      <c r="E1135" s="59">
        <v>7347</v>
      </c>
      <c r="F1135" s="67">
        <v>4</v>
      </c>
      <c r="G1135" s="65" t="s">
        <v>5205</v>
      </c>
      <c r="H1135" s="32" t="s">
        <v>5206</v>
      </c>
      <c r="I1135" s="65" t="s">
        <v>179</v>
      </c>
      <c r="J1135" s="65" t="s">
        <v>5207</v>
      </c>
      <c r="K1135" s="75" t="s">
        <v>5329</v>
      </c>
    </row>
    <row r="1136" spans="1:11" ht="45" customHeight="1">
      <c r="A1136" s="32">
        <v>105</v>
      </c>
      <c r="B1136" s="45" t="s">
        <v>5208</v>
      </c>
      <c r="C1136" s="65" t="s">
        <v>88</v>
      </c>
      <c r="D1136" s="66"/>
      <c r="E1136" s="59">
        <v>75401</v>
      </c>
      <c r="F1136" s="67">
        <v>4</v>
      </c>
      <c r="G1136" s="65" t="s">
        <v>5205</v>
      </c>
      <c r="H1136" s="32" t="s">
        <v>5206</v>
      </c>
      <c r="I1136" s="65" t="s">
        <v>179</v>
      </c>
      <c r="J1136" s="65" t="s">
        <v>5207</v>
      </c>
      <c r="K1136" s="75" t="s">
        <v>5264</v>
      </c>
    </row>
    <row r="1137" spans="1:11" ht="45" customHeight="1">
      <c r="A1137" s="32">
        <v>105</v>
      </c>
      <c r="B1137" s="45" t="s">
        <v>5185</v>
      </c>
      <c r="C1137" s="65" t="s">
        <v>88</v>
      </c>
      <c r="D1137" s="66"/>
      <c r="E1137" s="59">
        <v>119411</v>
      </c>
      <c r="F1137" s="67">
        <v>4</v>
      </c>
      <c r="G1137" s="71" t="s">
        <v>5209</v>
      </c>
      <c r="H1137" s="32" t="s">
        <v>5210</v>
      </c>
      <c r="I1137" s="65" t="s">
        <v>464</v>
      </c>
      <c r="J1137" s="65" t="s">
        <v>5191</v>
      </c>
      <c r="K1137" s="75" t="s">
        <v>5265</v>
      </c>
    </row>
    <row r="1138" spans="1:11" ht="45" customHeight="1">
      <c r="A1138" s="32">
        <v>105</v>
      </c>
      <c r="B1138" s="45" t="s">
        <v>5185</v>
      </c>
      <c r="C1138" s="65" t="s">
        <v>88</v>
      </c>
      <c r="D1138" s="66"/>
      <c r="E1138" s="59">
        <v>115932</v>
      </c>
      <c r="F1138" s="67">
        <v>4</v>
      </c>
      <c r="G1138" s="71" t="s">
        <v>5209</v>
      </c>
      <c r="H1138" s="32" t="s">
        <v>5210</v>
      </c>
      <c r="I1138" s="65" t="s">
        <v>464</v>
      </c>
      <c r="J1138" s="65" t="s">
        <v>5191</v>
      </c>
      <c r="K1138" s="75" t="s">
        <v>5330</v>
      </c>
    </row>
    <row r="1139" spans="1:11" ht="45" customHeight="1">
      <c r="A1139" s="32">
        <v>105</v>
      </c>
      <c r="B1139" s="45" t="s">
        <v>621</v>
      </c>
      <c r="C1139" s="65" t="s">
        <v>88</v>
      </c>
      <c r="D1139" s="66"/>
      <c r="E1139" s="59">
        <v>55060</v>
      </c>
      <c r="F1139" s="67">
        <v>4</v>
      </c>
      <c r="G1139" s="65" t="s">
        <v>5211</v>
      </c>
      <c r="H1139" s="32" t="s">
        <v>5212</v>
      </c>
      <c r="I1139" s="65" t="s">
        <v>107</v>
      </c>
      <c r="J1139" s="65" t="s">
        <v>5213</v>
      </c>
      <c r="K1139" s="75" t="s">
        <v>5266</v>
      </c>
    </row>
    <row r="1140" spans="1:11" ht="45" customHeight="1">
      <c r="A1140" s="32">
        <v>105</v>
      </c>
      <c r="B1140" s="45" t="s">
        <v>5214</v>
      </c>
      <c r="C1140" s="65" t="s">
        <v>88</v>
      </c>
      <c r="D1140" s="66"/>
      <c r="E1140" s="59">
        <v>100007</v>
      </c>
      <c r="F1140" s="67">
        <v>4</v>
      </c>
      <c r="G1140" s="65" t="s">
        <v>5215</v>
      </c>
      <c r="H1140" s="32" t="s">
        <v>5216</v>
      </c>
      <c r="I1140" s="65" t="s">
        <v>107</v>
      </c>
      <c r="J1140" s="65" t="s">
        <v>5217</v>
      </c>
      <c r="K1140" s="75" t="s">
        <v>5267</v>
      </c>
    </row>
    <row r="1141" spans="1:11" ht="45" customHeight="1">
      <c r="A1141" s="32">
        <v>105</v>
      </c>
      <c r="B1141" s="45" t="s">
        <v>5218</v>
      </c>
      <c r="C1141" s="65" t="s">
        <v>88</v>
      </c>
      <c r="D1141" s="66"/>
      <c r="E1141" s="59">
        <v>81002</v>
      </c>
      <c r="F1141" s="67">
        <v>4</v>
      </c>
      <c r="G1141" s="65" t="s">
        <v>5219</v>
      </c>
      <c r="H1141" s="32" t="s">
        <v>5220</v>
      </c>
      <c r="I1141" s="65" t="s">
        <v>107</v>
      </c>
      <c r="J1141" s="65" t="s">
        <v>501</v>
      </c>
      <c r="K1141" s="75" t="s">
        <v>5268</v>
      </c>
    </row>
    <row r="1142" spans="1:11" ht="45" customHeight="1">
      <c r="A1142" s="32">
        <v>105</v>
      </c>
      <c r="B1142" s="45" t="s">
        <v>5208</v>
      </c>
      <c r="C1142" s="65" t="s">
        <v>88</v>
      </c>
      <c r="D1142" s="66"/>
      <c r="E1142" s="59">
        <v>73673</v>
      </c>
      <c r="F1142" s="67">
        <v>4</v>
      </c>
      <c r="G1142" s="79" t="s">
        <v>5221</v>
      </c>
      <c r="H1142" s="32" t="s">
        <v>5222</v>
      </c>
      <c r="I1142" s="65" t="s">
        <v>456</v>
      </c>
      <c r="J1142" s="65" t="s">
        <v>5223</v>
      </c>
      <c r="K1142" s="75" t="s">
        <v>5269</v>
      </c>
    </row>
    <row r="1143" spans="1:11" ht="45" customHeight="1">
      <c r="A1143" s="32">
        <v>105</v>
      </c>
      <c r="B1143" s="45" t="s">
        <v>5185</v>
      </c>
      <c r="C1143" s="65" t="s">
        <v>88</v>
      </c>
      <c r="D1143" s="66"/>
      <c r="E1143" s="59">
        <v>42019</v>
      </c>
      <c r="F1143" s="67">
        <v>4</v>
      </c>
      <c r="G1143" s="65" t="s">
        <v>5224</v>
      </c>
      <c r="H1143" s="32" t="s">
        <v>5225</v>
      </c>
      <c r="I1143" s="65" t="s">
        <v>116</v>
      </c>
      <c r="J1143" s="65" t="s">
        <v>398</v>
      </c>
      <c r="K1143" s="68" t="s">
        <v>5147</v>
      </c>
    </row>
    <row r="1144" spans="1:11" ht="45" customHeight="1">
      <c r="A1144" s="32">
        <v>105</v>
      </c>
      <c r="B1144" s="45" t="s">
        <v>5226</v>
      </c>
      <c r="C1144" s="65" t="s">
        <v>88</v>
      </c>
      <c r="D1144" s="66"/>
      <c r="E1144" s="59">
        <v>68224</v>
      </c>
      <c r="F1144" s="67">
        <v>4</v>
      </c>
      <c r="G1144" s="70" t="s">
        <v>5227</v>
      </c>
      <c r="H1144" s="32" t="s">
        <v>3576</v>
      </c>
      <c r="I1144" s="65" t="s">
        <v>100</v>
      </c>
      <c r="J1144" s="65" t="s">
        <v>5204</v>
      </c>
      <c r="K1144" s="75" t="s">
        <v>5270</v>
      </c>
    </row>
    <row r="1145" spans="1:11" ht="45" customHeight="1">
      <c r="A1145" s="32">
        <v>105</v>
      </c>
      <c r="B1145" s="45" t="s">
        <v>5192</v>
      </c>
      <c r="C1145" s="65" t="s">
        <v>88</v>
      </c>
      <c r="D1145" s="66"/>
      <c r="E1145" s="59">
        <v>89801</v>
      </c>
      <c r="F1145" s="67">
        <v>4</v>
      </c>
      <c r="G1145" s="65" t="s">
        <v>5228</v>
      </c>
      <c r="H1145" s="32" t="s">
        <v>5229</v>
      </c>
      <c r="I1145" s="65" t="s">
        <v>116</v>
      </c>
      <c r="J1145" s="65" t="s">
        <v>398</v>
      </c>
      <c r="K1145" s="75" t="s">
        <v>5271</v>
      </c>
    </row>
    <row r="1146" spans="1:11" ht="45" customHeight="1">
      <c r="A1146" s="32">
        <v>105</v>
      </c>
      <c r="B1146" s="45" t="s">
        <v>5230</v>
      </c>
      <c r="C1146" s="65" t="s">
        <v>88</v>
      </c>
      <c r="D1146" s="66"/>
      <c r="E1146" s="59">
        <v>109968</v>
      </c>
      <c r="F1146" s="67">
        <v>4</v>
      </c>
      <c r="G1146" s="69" t="s">
        <v>5231</v>
      </c>
      <c r="H1146" s="32" t="s">
        <v>5232</v>
      </c>
      <c r="I1146" s="65" t="s">
        <v>177</v>
      </c>
      <c r="J1146" s="65" t="s">
        <v>5233</v>
      </c>
      <c r="K1146" s="75" t="s">
        <v>5272</v>
      </c>
    </row>
    <row r="1147" spans="1:11" ht="45" customHeight="1">
      <c r="A1147" s="32">
        <v>105</v>
      </c>
      <c r="B1147" s="45" t="s">
        <v>5208</v>
      </c>
      <c r="C1147" s="65" t="s">
        <v>88</v>
      </c>
      <c r="D1147" s="66"/>
      <c r="E1147" s="59">
        <v>59712</v>
      </c>
      <c r="F1147" s="67">
        <v>4</v>
      </c>
      <c r="G1147" s="79" t="s">
        <v>5221</v>
      </c>
      <c r="H1147" s="32" t="s">
        <v>5234</v>
      </c>
      <c r="I1147" s="65" t="s">
        <v>456</v>
      </c>
      <c r="J1147" s="65" t="s">
        <v>5223</v>
      </c>
      <c r="K1147" s="75" t="s">
        <v>5273</v>
      </c>
    </row>
    <row r="1148" spans="1:11" ht="45" customHeight="1">
      <c r="A1148" s="32">
        <v>105</v>
      </c>
      <c r="B1148" s="45" t="s">
        <v>5235</v>
      </c>
      <c r="C1148" s="65" t="s">
        <v>88</v>
      </c>
      <c r="D1148" s="66"/>
      <c r="E1148" s="59">
        <v>13854</v>
      </c>
      <c r="F1148" s="67">
        <v>4</v>
      </c>
      <c r="G1148" s="69" t="s">
        <v>5236</v>
      </c>
      <c r="H1148" s="32" t="s">
        <v>5237</v>
      </c>
      <c r="I1148" s="65" t="s">
        <v>448</v>
      </c>
      <c r="J1148" s="65" t="s">
        <v>5238</v>
      </c>
      <c r="K1148" s="75" t="s">
        <v>5274</v>
      </c>
    </row>
    <row r="1149" spans="1:11" ht="45" customHeight="1">
      <c r="A1149" s="32">
        <v>105</v>
      </c>
      <c r="B1149" s="45" t="s">
        <v>5239</v>
      </c>
      <c r="C1149" s="65" t="s">
        <v>88</v>
      </c>
      <c r="D1149" s="66"/>
      <c r="E1149" s="59">
        <v>60000</v>
      </c>
      <c r="F1149" s="67">
        <v>4</v>
      </c>
      <c r="G1149" s="65" t="s">
        <v>5240</v>
      </c>
      <c r="H1149" s="32" t="s">
        <v>5241</v>
      </c>
      <c r="I1149" s="65" t="s">
        <v>107</v>
      </c>
      <c r="J1149" s="65" t="s">
        <v>5242</v>
      </c>
      <c r="K1149" s="68" t="s">
        <v>5148</v>
      </c>
    </row>
    <row r="1150" spans="1:11" ht="45" customHeight="1">
      <c r="A1150" s="32">
        <v>105</v>
      </c>
      <c r="B1150" s="45" t="s">
        <v>5243</v>
      </c>
      <c r="C1150" s="65" t="s">
        <v>88</v>
      </c>
      <c r="D1150" s="66"/>
      <c r="E1150" s="59">
        <v>60000</v>
      </c>
      <c r="F1150" s="67">
        <v>4</v>
      </c>
      <c r="G1150" s="70" t="s">
        <v>5244</v>
      </c>
      <c r="H1150" s="32" t="s">
        <v>5245</v>
      </c>
      <c r="I1150" s="65" t="s">
        <v>91</v>
      </c>
      <c r="J1150" s="65" t="s">
        <v>5246</v>
      </c>
      <c r="K1150" s="68" t="s">
        <v>5149</v>
      </c>
    </row>
    <row r="1151" spans="1:11" ht="45" customHeight="1">
      <c r="A1151" s="32">
        <v>105</v>
      </c>
      <c r="B1151" s="45" t="s">
        <v>5247</v>
      </c>
      <c r="C1151" s="65" t="s">
        <v>88</v>
      </c>
      <c r="D1151" s="66"/>
      <c r="E1151" s="59">
        <v>33606</v>
      </c>
      <c r="F1151" s="67">
        <v>4</v>
      </c>
      <c r="G1151" s="69" t="s">
        <v>5248</v>
      </c>
      <c r="H1151" s="32" t="s">
        <v>5249</v>
      </c>
      <c r="I1151" s="65" t="s">
        <v>344</v>
      </c>
      <c r="J1151" s="65" t="s">
        <v>5250</v>
      </c>
      <c r="K1151" s="68" t="s">
        <v>5150</v>
      </c>
    </row>
    <row r="1152" spans="1:11" ht="45" customHeight="1">
      <c r="A1152" s="32">
        <v>105</v>
      </c>
      <c r="B1152" s="45" t="s">
        <v>5281</v>
      </c>
      <c r="C1152" s="65" t="s">
        <v>88</v>
      </c>
      <c r="D1152" s="66"/>
      <c r="E1152" s="59">
        <v>26390</v>
      </c>
      <c r="F1152" s="67">
        <v>4</v>
      </c>
      <c r="G1152" s="69" t="s">
        <v>5282</v>
      </c>
      <c r="H1152" s="32" t="s">
        <v>5283</v>
      </c>
      <c r="I1152" s="65" t="s">
        <v>275</v>
      </c>
      <c r="J1152" s="65" t="s">
        <v>486</v>
      </c>
      <c r="K1152" s="81" t="s">
        <v>5284</v>
      </c>
    </row>
    <row r="1153" spans="1:11" ht="45" customHeight="1">
      <c r="A1153" s="32">
        <v>105</v>
      </c>
      <c r="B1153" s="45" t="s">
        <v>5281</v>
      </c>
      <c r="C1153" s="65" t="s">
        <v>88</v>
      </c>
      <c r="D1153" s="66"/>
      <c r="E1153" s="59">
        <v>69983</v>
      </c>
      <c r="F1153" s="67">
        <v>4</v>
      </c>
      <c r="G1153" s="69" t="s">
        <v>5285</v>
      </c>
      <c r="H1153" s="32" t="s">
        <v>5175</v>
      </c>
      <c r="I1153" s="65" t="s">
        <v>275</v>
      </c>
      <c r="J1153" s="65" t="s">
        <v>486</v>
      </c>
      <c r="K1153" s="81" t="s">
        <v>5286</v>
      </c>
    </row>
    <row r="1154" spans="1:11" ht="45" customHeight="1">
      <c r="A1154" s="32">
        <v>105</v>
      </c>
      <c r="B1154" s="45" t="s">
        <v>5287</v>
      </c>
      <c r="C1154" s="65" t="s">
        <v>88</v>
      </c>
      <c r="D1154" s="66"/>
      <c r="E1154" s="59">
        <v>105263</v>
      </c>
      <c r="F1154" s="67">
        <v>4</v>
      </c>
      <c r="G1154" s="65" t="s">
        <v>5158</v>
      </c>
      <c r="H1154" s="32" t="s">
        <v>5159</v>
      </c>
      <c r="I1154" s="65" t="s">
        <v>107</v>
      </c>
      <c r="J1154" s="65" t="s">
        <v>713</v>
      </c>
      <c r="K1154" s="81" t="s">
        <v>5288</v>
      </c>
    </row>
    <row r="1155" spans="1:11" ht="45" customHeight="1">
      <c r="A1155" s="32">
        <v>105</v>
      </c>
      <c r="B1155" s="45" t="s">
        <v>5289</v>
      </c>
      <c r="C1155" s="65" t="s">
        <v>88</v>
      </c>
      <c r="D1155" s="66"/>
      <c r="E1155" s="59">
        <v>82067</v>
      </c>
      <c r="F1155" s="67">
        <v>4</v>
      </c>
      <c r="G1155" s="65" t="s">
        <v>5290</v>
      </c>
      <c r="H1155" s="32" t="s">
        <v>5291</v>
      </c>
      <c r="I1155" s="65" t="s">
        <v>107</v>
      </c>
      <c r="J1155" s="65" t="s">
        <v>399</v>
      </c>
      <c r="K1155" s="81" t="s">
        <v>5292</v>
      </c>
    </row>
    <row r="1156" spans="1:11" ht="45" customHeight="1">
      <c r="A1156" s="32">
        <v>105</v>
      </c>
      <c r="B1156" s="45" t="s">
        <v>5289</v>
      </c>
      <c r="C1156" s="65" t="s">
        <v>88</v>
      </c>
      <c r="D1156" s="66"/>
      <c r="E1156" s="59">
        <v>76183</v>
      </c>
      <c r="F1156" s="67">
        <v>4</v>
      </c>
      <c r="G1156" s="69" t="s">
        <v>5293</v>
      </c>
      <c r="H1156" s="32" t="s">
        <v>5294</v>
      </c>
      <c r="I1156" s="65" t="s">
        <v>107</v>
      </c>
      <c r="J1156" s="72" t="s">
        <v>5295</v>
      </c>
      <c r="K1156" s="81" t="s">
        <v>5296</v>
      </c>
    </row>
    <row r="1157" spans="1:11" ht="45" customHeight="1">
      <c r="A1157" s="32">
        <v>105</v>
      </c>
      <c r="B1157" s="45" t="s">
        <v>5289</v>
      </c>
      <c r="C1157" s="65" t="s">
        <v>88</v>
      </c>
      <c r="D1157" s="66"/>
      <c r="E1157" s="59">
        <v>25191</v>
      </c>
      <c r="F1157" s="67">
        <v>4</v>
      </c>
      <c r="G1157" s="69" t="s">
        <v>5297</v>
      </c>
      <c r="H1157" s="32" t="s">
        <v>5298</v>
      </c>
      <c r="I1157" s="69" t="s">
        <v>5277</v>
      </c>
      <c r="J1157" s="69" t="s">
        <v>5299</v>
      </c>
      <c r="K1157" s="81" t="s">
        <v>5300</v>
      </c>
    </row>
    <row r="1158" spans="1:11" ht="45" customHeight="1">
      <c r="A1158" s="32">
        <v>105</v>
      </c>
      <c r="B1158" s="45" t="s">
        <v>5281</v>
      </c>
      <c r="C1158" s="65" t="s">
        <v>88</v>
      </c>
      <c r="D1158" s="66"/>
      <c r="E1158" s="59">
        <v>18274</v>
      </c>
      <c r="F1158" s="67">
        <v>4</v>
      </c>
      <c r="G1158" s="65" t="s">
        <v>5301</v>
      </c>
      <c r="H1158" s="32" t="s">
        <v>5302</v>
      </c>
      <c r="I1158" s="65" t="s">
        <v>177</v>
      </c>
      <c r="J1158" s="65" t="s">
        <v>4734</v>
      </c>
      <c r="K1158" s="81" t="s">
        <v>5303</v>
      </c>
    </row>
    <row r="1159" spans="1:11" ht="45" customHeight="1">
      <c r="A1159" s="32">
        <v>105</v>
      </c>
      <c r="B1159" s="45" t="s">
        <v>624</v>
      </c>
      <c r="C1159" s="65" t="s">
        <v>88</v>
      </c>
      <c r="D1159" s="66"/>
      <c r="E1159" s="59">
        <v>36986</v>
      </c>
      <c r="F1159" s="67">
        <v>4</v>
      </c>
      <c r="G1159" s="65" t="s">
        <v>5197</v>
      </c>
      <c r="H1159" s="32" t="s">
        <v>4870</v>
      </c>
      <c r="I1159" s="65" t="s">
        <v>1053</v>
      </c>
      <c r="J1159" s="65" t="s">
        <v>5198</v>
      </c>
      <c r="K1159" s="81" t="s">
        <v>5304</v>
      </c>
    </row>
    <row r="1160" spans="1:11" ht="45" customHeight="1">
      <c r="A1160" s="32">
        <v>105</v>
      </c>
      <c r="B1160" s="45" t="s">
        <v>5287</v>
      </c>
      <c r="C1160" s="65" t="s">
        <v>88</v>
      </c>
      <c r="D1160" s="66"/>
      <c r="E1160" s="59">
        <v>32742</v>
      </c>
      <c r="F1160" s="67">
        <v>4</v>
      </c>
      <c r="G1160" s="65" t="s">
        <v>5305</v>
      </c>
      <c r="H1160" s="32" t="s">
        <v>5306</v>
      </c>
      <c r="I1160" s="65" t="s">
        <v>107</v>
      </c>
      <c r="J1160" s="72" t="s">
        <v>5307</v>
      </c>
      <c r="K1160" s="81" t="s">
        <v>5308</v>
      </c>
    </row>
    <row r="1161" spans="1:11" ht="45" customHeight="1">
      <c r="A1161" s="32">
        <v>105</v>
      </c>
      <c r="B1161" s="45" t="s">
        <v>5287</v>
      </c>
      <c r="C1161" s="65" t="s">
        <v>88</v>
      </c>
      <c r="D1161" s="66"/>
      <c r="E1161" s="59">
        <v>28484</v>
      </c>
      <c r="F1161" s="67">
        <v>4</v>
      </c>
      <c r="G1161" s="65" t="s">
        <v>5309</v>
      </c>
      <c r="H1161" s="32" t="s">
        <v>5310</v>
      </c>
      <c r="I1161" s="71" t="s">
        <v>5279</v>
      </c>
      <c r="J1161" s="69" t="s">
        <v>5311</v>
      </c>
      <c r="K1161" s="81" t="s">
        <v>5312</v>
      </c>
    </row>
    <row r="1162" spans="1:11" ht="45" customHeight="1">
      <c r="A1162" s="30"/>
      <c r="B1162" s="58" t="s">
        <v>67</v>
      </c>
      <c r="C1162" s="45"/>
      <c r="D1162" s="46"/>
      <c r="E1162" s="47">
        <f>SUM(E1112:E1161)</f>
        <v>3008722</v>
      </c>
      <c r="F1162" s="30"/>
      <c r="G1162" s="45"/>
      <c r="H1162" s="45"/>
      <c r="I1162" s="45"/>
      <c r="J1162" s="45"/>
      <c r="K1162" s="50"/>
    </row>
    <row r="1163" spans="1:11" ht="45" customHeight="1">
      <c r="A1163" s="32">
        <v>105</v>
      </c>
      <c r="B1163" s="92" t="s">
        <v>0</v>
      </c>
      <c r="C1163" s="65" t="s">
        <v>88</v>
      </c>
      <c r="D1163" s="66">
        <v>400000</v>
      </c>
      <c r="E1163" s="59"/>
      <c r="F1163" s="67">
        <v>4</v>
      </c>
      <c r="G1163" s="65" t="s">
        <v>442</v>
      </c>
      <c r="H1163" s="32"/>
      <c r="I1163" s="65" t="s">
        <v>45</v>
      </c>
      <c r="J1163" s="65"/>
      <c r="K1163" s="68" t="str">
        <f>"　"</f>
        <v>　</v>
      </c>
    </row>
    <row r="1164" spans="1:11" ht="45" customHeight="1">
      <c r="A1164" s="32">
        <v>105</v>
      </c>
      <c r="B1164" s="45" t="s">
        <v>3753</v>
      </c>
      <c r="C1164" s="65" t="s">
        <v>88</v>
      </c>
      <c r="D1164" s="66"/>
      <c r="E1164" s="59">
        <v>76367</v>
      </c>
      <c r="F1164" s="67">
        <v>4</v>
      </c>
      <c r="G1164" s="65" t="s">
        <v>3754</v>
      </c>
      <c r="H1164" s="32" t="s">
        <v>3755</v>
      </c>
      <c r="I1164" s="65" t="s">
        <v>111</v>
      </c>
      <c r="J1164" s="65" t="s">
        <v>3756</v>
      </c>
      <c r="K1164" s="68" t="str">
        <f>"00029906"</f>
        <v>00029906</v>
      </c>
    </row>
    <row r="1165" spans="1:11" ht="45" customHeight="1">
      <c r="A1165" s="32">
        <v>105</v>
      </c>
      <c r="B1165" s="45" t="s">
        <v>3753</v>
      </c>
      <c r="C1165" s="65" t="s">
        <v>88</v>
      </c>
      <c r="D1165" s="66"/>
      <c r="E1165" s="59">
        <v>137535</v>
      </c>
      <c r="F1165" s="67">
        <v>4</v>
      </c>
      <c r="G1165" s="72" t="s">
        <v>3757</v>
      </c>
      <c r="H1165" s="32" t="s">
        <v>3758</v>
      </c>
      <c r="I1165" s="65" t="s">
        <v>264</v>
      </c>
      <c r="J1165" s="65" t="s">
        <v>3759</v>
      </c>
      <c r="K1165" s="68" t="str">
        <f>"00030570"</f>
        <v>00030570</v>
      </c>
    </row>
    <row r="1166" spans="1:11" ht="45" customHeight="1">
      <c r="A1166" s="32">
        <v>105</v>
      </c>
      <c r="B1166" s="45" t="s">
        <v>4886</v>
      </c>
      <c r="C1166" s="65" t="s">
        <v>88</v>
      </c>
      <c r="D1166" s="66"/>
      <c r="E1166" s="59">
        <v>26695</v>
      </c>
      <c r="F1166" s="67">
        <v>4</v>
      </c>
      <c r="G1166" s="69" t="s">
        <v>4887</v>
      </c>
      <c r="H1166" s="32" t="s">
        <v>4262</v>
      </c>
      <c r="I1166" s="65" t="s">
        <v>100</v>
      </c>
      <c r="J1166" s="65" t="s">
        <v>4888</v>
      </c>
      <c r="K1166" s="68" t="str">
        <f>"00029580"</f>
        <v>00029580</v>
      </c>
    </row>
    <row r="1167" spans="1:11" ht="45" customHeight="1">
      <c r="A1167" s="32">
        <v>105</v>
      </c>
      <c r="B1167" s="45" t="s">
        <v>4886</v>
      </c>
      <c r="C1167" s="65" t="s">
        <v>88</v>
      </c>
      <c r="D1167" s="66"/>
      <c r="E1167" s="59">
        <v>5360</v>
      </c>
      <c r="F1167" s="67">
        <v>4</v>
      </c>
      <c r="G1167" s="65" t="s">
        <v>4889</v>
      </c>
      <c r="H1167" s="32" t="s">
        <v>4890</v>
      </c>
      <c r="I1167" s="65" t="s">
        <v>107</v>
      </c>
      <c r="J1167" s="65" t="s">
        <v>4891</v>
      </c>
      <c r="K1167" s="68" t="str">
        <f>"00031923"</f>
        <v>00031923</v>
      </c>
    </row>
    <row r="1168" spans="1:11" ht="45" customHeight="1">
      <c r="A1168" s="32">
        <v>105</v>
      </c>
      <c r="B1168" s="45" t="s">
        <v>4886</v>
      </c>
      <c r="C1168" s="65" t="s">
        <v>88</v>
      </c>
      <c r="D1168" s="66"/>
      <c r="E1168" s="59">
        <v>60000</v>
      </c>
      <c r="F1168" s="67">
        <v>4</v>
      </c>
      <c r="G1168" s="65" t="s">
        <v>4892</v>
      </c>
      <c r="H1168" s="32" t="s">
        <v>4893</v>
      </c>
      <c r="I1168" s="65" t="s">
        <v>100</v>
      </c>
      <c r="J1168" s="65" t="s">
        <v>403</v>
      </c>
      <c r="K1168" s="68" t="str">
        <f>"00029567"</f>
        <v>00029567</v>
      </c>
    </row>
    <row r="1169" spans="1:11" ht="45" customHeight="1">
      <c r="A1169" s="32">
        <v>105</v>
      </c>
      <c r="B1169" s="45" t="s">
        <v>4886</v>
      </c>
      <c r="C1169" s="65" t="s">
        <v>88</v>
      </c>
      <c r="D1169" s="66"/>
      <c r="E1169" s="59">
        <v>59946</v>
      </c>
      <c r="F1169" s="67">
        <v>4</v>
      </c>
      <c r="G1169" s="65" t="s">
        <v>4894</v>
      </c>
      <c r="H1169" s="32" t="s">
        <v>4895</v>
      </c>
      <c r="I1169" s="65" t="s">
        <v>100</v>
      </c>
      <c r="J1169" s="65" t="s">
        <v>403</v>
      </c>
      <c r="K1169" s="68" t="str">
        <f>"00029585"</f>
        <v>00029585</v>
      </c>
    </row>
    <row r="1170" spans="1:11" ht="45" customHeight="1">
      <c r="A1170" s="32">
        <v>105</v>
      </c>
      <c r="B1170" s="45" t="s">
        <v>0</v>
      </c>
      <c r="C1170" s="65" t="s">
        <v>88</v>
      </c>
      <c r="D1170" s="66">
        <v>3100000</v>
      </c>
      <c r="E1170" s="59"/>
      <c r="F1170" s="67">
        <v>4</v>
      </c>
      <c r="G1170" s="65" t="s">
        <v>589</v>
      </c>
      <c r="H1170" s="32"/>
      <c r="I1170" s="65" t="s">
        <v>45</v>
      </c>
      <c r="J1170" s="65"/>
      <c r="K1170" s="68" t="str">
        <f>"　"</f>
        <v>　</v>
      </c>
    </row>
    <row r="1171" spans="1:11" ht="45" customHeight="1">
      <c r="A1171" s="32">
        <v>105</v>
      </c>
      <c r="B1171" s="45" t="s">
        <v>5614</v>
      </c>
      <c r="C1171" s="65" t="s">
        <v>88</v>
      </c>
      <c r="D1171" s="66"/>
      <c r="E1171" s="59">
        <v>84445</v>
      </c>
      <c r="F1171" s="67">
        <v>4</v>
      </c>
      <c r="G1171" s="65" t="s">
        <v>5853</v>
      </c>
      <c r="H1171" s="32" t="s">
        <v>5854</v>
      </c>
      <c r="I1171" s="65" t="s">
        <v>91</v>
      </c>
      <c r="J1171" s="65" t="s">
        <v>4048</v>
      </c>
      <c r="K1171" s="68" t="str">
        <f>"00029097"</f>
        <v>00029097</v>
      </c>
    </row>
    <row r="1172" spans="1:11" ht="45" customHeight="1">
      <c r="A1172" s="32">
        <v>105</v>
      </c>
      <c r="B1172" s="45" t="s">
        <v>5614</v>
      </c>
      <c r="C1172" s="65" t="s">
        <v>88</v>
      </c>
      <c r="D1172" s="66"/>
      <c r="E1172" s="59">
        <v>75187</v>
      </c>
      <c r="F1172" s="67">
        <v>4</v>
      </c>
      <c r="G1172" s="65" t="s">
        <v>5855</v>
      </c>
      <c r="H1172" s="32" t="s">
        <v>5856</v>
      </c>
      <c r="I1172" s="65" t="s">
        <v>92</v>
      </c>
      <c r="J1172" s="65" t="s">
        <v>401</v>
      </c>
      <c r="K1172" s="68" t="str">
        <f>"00029920"</f>
        <v>00029920</v>
      </c>
    </row>
    <row r="1173" spans="1:11" ht="45" customHeight="1">
      <c r="A1173" s="32">
        <v>105</v>
      </c>
      <c r="B1173" s="45" t="s">
        <v>4781</v>
      </c>
      <c r="C1173" s="65" t="s">
        <v>88</v>
      </c>
      <c r="D1173" s="66"/>
      <c r="E1173" s="59">
        <v>90000</v>
      </c>
      <c r="F1173" s="67">
        <v>4</v>
      </c>
      <c r="G1173" s="70" t="s">
        <v>4704</v>
      </c>
      <c r="H1173" s="32" t="s">
        <v>4705</v>
      </c>
      <c r="I1173" s="65" t="s">
        <v>107</v>
      </c>
      <c r="J1173" s="65" t="s">
        <v>4706</v>
      </c>
      <c r="K1173" s="68" t="str">
        <f>"00029950"</f>
        <v>00029950</v>
      </c>
    </row>
    <row r="1174" spans="1:11" ht="45" customHeight="1">
      <c r="A1174" s="32">
        <v>105</v>
      </c>
      <c r="B1174" s="45" t="s">
        <v>4781</v>
      </c>
      <c r="C1174" s="65" t="s">
        <v>88</v>
      </c>
      <c r="D1174" s="66"/>
      <c r="E1174" s="59">
        <v>97356</v>
      </c>
      <c r="F1174" s="67">
        <v>4</v>
      </c>
      <c r="G1174" s="65" t="s">
        <v>4782</v>
      </c>
      <c r="H1174" s="32" t="s">
        <v>4783</v>
      </c>
      <c r="I1174" s="65" t="s">
        <v>177</v>
      </c>
      <c r="J1174" s="65" t="s">
        <v>4734</v>
      </c>
      <c r="K1174" s="68" t="str">
        <f>"00028120"</f>
        <v>00028120</v>
      </c>
    </row>
    <row r="1175" spans="1:11" ht="45" customHeight="1">
      <c r="A1175" s="32">
        <v>105</v>
      </c>
      <c r="B1175" s="45" t="s">
        <v>4781</v>
      </c>
      <c r="C1175" s="65" t="s">
        <v>88</v>
      </c>
      <c r="D1175" s="66"/>
      <c r="E1175" s="59">
        <v>130765</v>
      </c>
      <c r="F1175" s="67">
        <v>4</v>
      </c>
      <c r="G1175" s="65" t="s">
        <v>578</v>
      </c>
      <c r="H1175" s="32" t="s">
        <v>4784</v>
      </c>
      <c r="I1175" s="65" t="s">
        <v>569</v>
      </c>
      <c r="J1175" s="65" t="s">
        <v>574</v>
      </c>
      <c r="K1175" s="68" t="str">
        <f>"00030727"</f>
        <v>00030727</v>
      </c>
    </row>
    <row r="1176" spans="1:11" ht="45" customHeight="1">
      <c r="A1176" s="32">
        <v>105</v>
      </c>
      <c r="B1176" s="45" t="s">
        <v>4781</v>
      </c>
      <c r="C1176" s="65" t="s">
        <v>88</v>
      </c>
      <c r="D1176" s="66"/>
      <c r="E1176" s="59">
        <v>108645</v>
      </c>
      <c r="F1176" s="67">
        <v>4</v>
      </c>
      <c r="G1176" s="65" t="s">
        <v>4785</v>
      </c>
      <c r="H1176" s="32" t="s">
        <v>4786</v>
      </c>
      <c r="I1176" s="65" t="s">
        <v>165</v>
      </c>
      <c r="J1176" s="65" t="s">
        <v>4772</v>
      </c>
      <c r="K1176" s="68" t="str">
        <f>"00032821"</f>
        <v>00032821</v>
      </c>
    </row>
    <row r="1177" spans="1:11" ht="45" customHeight="1">
      <c r="A1177" s="32">
        <v>105</v>
      </c>
      <c r="B1177" s="45" t="s">
        <v>4781</v>
      </c>
      <c r="C1177" s="65" t="s">
        <v>88</v>
      </c>
      <c r="D1177" s="66"/>
      <c r="E1177" s="59">
        <v>65616</v>
      </c>
      <c r="F1177" s="67">
        <v>4</v>
      </c>
      <c r="G1177" s="69" t="s">
        <v>4787</v>
      </c>
      <c r="H1177" s="32" t="s">
        <v>4786</v>
      </c>
      <c r="I1177" s="65" t="s">
        <v>165</v>
      </c>
      <c r="J1177" s="65" t="s">
        <v>4772</v>
      </c>
      <c r="K1177" s="68" t="str">
        <f>"00032858"</f>
        <v>00032858</v>
      </c>
    </row>
    <row r="1178" spans="1:11" ht="45" customHeight="1">
      <c r="A1178" s="32">
        <v>105</v>
      </c>
      <c r="B1178" s="45" t="s">
        <v>186</v>
      </c>
      <c r="C1178" s="65" t="s">
        <v>88</v>
      </c>
      <c r="D1178" s="66">
        <v>1500000</v>
      </c>
      <c r="E1178" s="59"/>
      <c r="F1178" s="67">
        <v>4</v>
      </c>
      <c r="G1178" s="65" t="s">
        <v>697</v>
      </c>
      <c r="H1178" s="32"/>
      <c r="I1178" s="65" t="s">
        <v>696</v>
      </c>
      <c r="J1178" s="65"/>
      <c r="K1178" s="93" t="str">
        <f>"　"</f>
        <v>　</v>
      </c>
    </row>
    <row r="1179" spans="1:11" ht="45" customHeight="1">
      <c r="A1179" s="32">
        <v>105</v>
      </c>
      <c r="B1179" s="45" t="s">
        <v>5613</v>
      </c>
      <c r="C1179" s="65" t="s">
        <v>88</v>
      </c>
      <c r="D1179" s="66"/>
      <c r="E1179" s="59">
        <v>23886</v>
      </c>
      <c r="F1179" s="67">
        <v>4</v>
      </c>
      <c r="G1179" s="71" t="s">
        <v>5857</v>
      </c>
      <c r="H1179" s="32" t="s">
        <v>5858</v>
      </c>
      <c r="I1179" s="65" t="s">
        <v>100</v>
      </c>
      <c r="J1179" s="65" t="s">
        <v>5859</v>
      </c>
      <c r="K1179" s="68" t="str">
        <f>"00027660"</f>
        <v>00027660</v>
      </c>
    </row>
    <row r="1180" spans="1:11" ht="45" customHeight="1">
      <c r="A1180" s="32">
        <v>105</v>
      </c>
      <c r="B1180" s="45" t="s">
        <v>5613</v>
      </c>
      <c r="C1180" s="65" t="s">
        <v>88</v>
      </c>
      <c r="D1180" s="66"/>
      <c r="E1180" s="59">
        <v>64513</v>
      </c>
      <c r="F1180" s="67">
        <v>4</v>
      </c>
      <c r="G1180" s="71" t="s">
        <v>5860</v>
      </c>
      <c r="H1180" s="32" t="s">
        <v>5861</v>
      </c>
      <c r="I1180" s="65" t="s">
        <v>92</v>
      </c>
      <c r="J1180" s="65" t="s">
        <v>5862</v>
      </c>
      <c r="K1180" s="68" t="str">
        <f>"00027089"</f>
        <v>00027089</v>
      </c>
    </row>
    <row r="1181" spans="1:11" ht="45" customHeight="1">
      <c r="A1181" s="32">
        <v>105</v>
      </c>
      <c r="B1181" s="45" t="s">
        <v>5613</v>
      </c>
      <c r="C1181" s="65" t="s">
        <v>88</v>
      </c>
      <c r="D1181" s="66"/>
      <c r="E1181" s="59">
        <v>75986</v>
      </c>
      <c r="F1181" s="67">
        <v>4</v>
      </c>
      <c r="G1181" s="65" t="s">
        <v>5863</v>
      </c>
      <c r="H1181" s="32" t="s">
        <v>5249</v>
      </c>
      <c r="I1181" s="65" t="s">
        <v>92</v>
      </c>
      <c r="J1181" s="65" t="s">
        <v>401</v>
      </c>
      <c r="K1181" s="68" t="str">
        <f>"00027819"</f>
        <v>00027819</v>
      </c>
    </row>
    <row r="1182" spans="1:11" ht="45" customHeight="1">
      <c r="A1182" s="32">
        <v>105</v>
      </c>
      <c r="B1182" s="45" t="s">
        <v>5613</v>
      </c>
      <c r="C1182" s="65" t="s">
        <v>88</v>
      </c>
      <c r="D1182" s="66"/>
      <c r="E1182" s="59">
        <v>25227</v>
      </c>
      <c r="F1182" s="67">
        <v>4</v>
      </c>
      <c r="G1182" s="70" t="s">
        <v>5864</v>
      </c>
      <c r="H1182" s="32" t="s">
        <v>5858</v>
      </c>
      <c r="I1182" s="65" t="s">
        <v>100</v>
      </c>
      <c r="J1182" s="65" t="s">
        <v>5859</v>
      </c>
      <c r="K1182" s="68" t="str">
        <f>"00027661"</f>
        <v>00027661</v>
      </c>
    </row>
    <row r="1183" spans="1:11" ht="45" customHeight="1">
      <c r="A1183" s="32">
        <v>105</v>
      </c>
      <c r="B1183" s="45" t="s">
        <v>5613</v>
      </c>
      <c r="C1183" s="65" t="s">
        <v>88</v>
      </c>
      <c r="D1183" s="66"/>
      <c r="E1183" s="59">
        <v>38669</v>
      </c>
      <c r="F1183" s="67">
        <v>4</v>
      </c>
      <c r="G1183" s="70" t="s">
        <v>5865</v>
      </c>
      <c r="H1183" s="32" t="s">
        <v>5866</v>
      </c>
      <c r="I1183" s="65" t="s">
        <v>275</v>
      </c>
      <c r="J1183" s="65" t="s">
        <v>5631</v>
      </c>
      <c r="K1183" s="68" t="str">
        <f>"00028082"</f>
        <v>00028082</v>
      </c>
    </row>
    <row r="1184" spans="1:11" ht="45" customHeight="1">
      <c r="A1184" s="32">
        <v>105</v>
      </c>
      <c r="B1184" s="45" t="s">
        <v>5613</v>
      </c>
      <c r="C1184" s="65" t="s">
        <v>88</v>
      </c>
      <c r="D1184" s="66"/>
      <c r="E1184" s="59">
        <v>64513</v>
      </c>
      <c r="F1184" s="67">
        <v>4</v>
      </c>
      <c r="G1184" s="65" t="s">
        <v>5867</v>
      </c>
      <c r="H1184" s="32" t="s">
        <v>5861</v>
      </c>
      <c r="I1184" s="65" t="s">
        <v>92</v>
      </c>
      <c r="J1184" s="65" t="s">
        <v>5868</v>
      </c>
      <c r="K1184" s="68" t="str">
        <f>"00026825"</f>
        <v>00026825</v>
      </c>
    </row>
    <row r="1185" spans="1:11" ht="45" customHeight="1">
      <c r="A1185" s="32">
        <v>105</v>
      </c>
      <c r="B1185" s="45" t="s">
        <v>5613</v>
      </c>
      <c r="C1185" s="65" t="s">
        <v>88</v>
      </c>
      <c r="D1185" s="66"/>
      <c r="E1185" s="59">
        <v>24011</v>
      </c>
      <c r="F1185" s="67">
        <v>4</v>
      </c>
      <c r="G1185" s="70" t="s">
        <v>5869</v>
      </c>
      <c r="H1185" s="32" t="s">
        <v>5858</v>
      </c>
      <c r="I1185" s="65" t="s">
        <v>100</v>
      </c>
      <c r="J1185" s="65" t="s">
        <v>5859</v>
      </c>
      <c r="K1185" s="68" t="str">
        <f>"00027656"</f>
        <v>00027656</v>
      </c>
    </row>
    <row r="1186" spans="1:11" ht="45" customHeight="1">
      <c r="A1186" s="32">
        <v>105</v>
      </c>
      <c r="B1186" s="45" t="s">
        <v>5613</v>
      </c>
      <c r="C1186" s="65" t="s">
        <v>88</v>
      </c>
      <c r="D1186" s="66"/>
      <c r="E1186" s="59">
        <v>98993</v>
      </c>
      <c r="F1186" s="67">
        <v>4</v>
      </c>
      <c r="G1186" s="65" t="s">
        <v>5870</v>
      </c>
      <c r="H1186" s="32" t="s">
        <v>5871</v>
      </c>
      <c r="I1186" s="65" t="s">
        <v>177</v>
      </c>
      <c r="J1186" s="65" t="s">
        <v>4734</v>
      </c>
      <c r="K1186" s="68" t="str">
        <f>"00028640"</f>
        <v>00028640</v>
      </c>
    </row>
    <row r="1187" spans="1:11" ht="45" customHeight="1">
      <c r="A1187" s="32">
        <v>105</v>
      </c>
      <c r="B1187" s="45" t="s">
        <v>5613</v>
      </c>
      <c r="C1187" s="65" t="s">
        <v>88</v>
      </c>
      <c r="D1187" s="66"/>
      <c r="E1187" s="59">
        <v>66475</v>
      </c>
      <c r="F1187" s="67">
        <v>4</v>
      </c>
      <c r="G1187" s="65" t="s">
        <v>5872</v>
      </c>
      <c r="H1187" s="32" t="s">
        <v>5873</v>
      </c>
      <c r="I1187" s="65" t="s">
        <v>92</v>
      </c>
      <c r="J1187" s="65" t="s">
        <v>5874</v>
      </c>
      <c r="K1187" s="68" t="str">
        <f>"00029743"</f>
        <v>00029743</v>
      </c>
    </row>
    <row r="1188" spans="1:11" ht="45" customHeight="1">
      <c r="A1188" s="32">
        <v>105</v>
      </c>
      <c r="B1188" s="45" t="s">
        <v>5613</v>
      </c>
      <c r="C1188" s="65" t="s">
        <v>88</v>
      </c>
      <c r="D1188" s="66"/>
      <c r="E1188" s="59">
        <v>95624</v>
      </c>
      <c r="F1188" s="67">
        <v>4</v>
      </c>
      <c r="G1188" s="65" t="s">
        <v>5875</v>
      </c>
      <c r="H1188" s="32" t="s">
        <v>5876</v>
      </c>
      <c r="I1188" s="65" t="s">
        <v>107</v>
      </c>
      <c r="J1188" s="65" t="s">
        <v>582</v>
      </c>
      <c r="K1188" s="68" t="str">
        <f>"00029583"</f>
        <v>00029583</v>
      </c>
    </row>
    <row r="1189" spans="1:11" ht="45" customHeight="1">
      <c r="A1189" s="32">
        <v>105</v>
      </c>
      <c r="B1189" s="45" t="s">
        <v>5613</v>
      </c>
      <c r="C1189" s="65" t="s">
        <v>88</v>
      </c>
      <c r="D1189" s="66"/>
      <c r="E1189" s="59">
        <v>76708</v>
      </c>
      <c r="F1189" s="67">
        <v>4</v>
      </c>
      <c r="G1189" s="65" t="s">
        <v>5877</v>
      </c>
      <c r="H1189" s="32" t="s">
        <v>5878</v>
      </c>
      <c r="I1189" s="65" t="s">
        <v>107</v>
      </c>
      <c r="J1189" s="65" t="s">
        <v>582</v>
      </c>
      <c r="K1189" s="68" t="str">
        <f>"00029581"</f>
        <v>00029581</v>
      </c>
    </row>
    <row r="1190" spans="1:11" ht="45" customHeight="1">
      <c r="A1190" s="32">
        <v>105</v>
      </c>
      <c r="B1190" s="45" t="s">
        <v>5613</v>
      </c>
      <c r="C1190" s="65" t="s">
        <v>88</v>
      </c>
      <c r="D1190" s="66"/>
      <c r="E1190" s="59">
        <v>48840</v>
      </c>
      <c r="F1190" s="67">
        <v>4</v>
      </c>
      <c r="G1190" s="65" t="s">
        <v>5879</v>
      </c>
      <c r="H1190" s="32" t="s">
        <v>5880</v>
      </c>
      <c r="I1190" s="65" t="s">
        <v>533</v>
      </c>
      <c r="J1190" s="65" t="s">
        <v>5881</v>
      </c>
      <c r="K1190" s="68" t="str">
        <f>"00028779"</f>
        <v>00028779</v>
      </c>
    </row>
    <row r="1191" spans="1:11" ht="45" customHeight="1">
      <c r="A1191" s="32">
        <v>105</v>
      </c>
      <c r="B1191" s="45" t="s">
        <v>5613</v>
      </c>
      <c r="C1191" s="65" t="s">
        <v>88</v>
      </c>
      <c r="D1191" s="66"/>
      <c r="E1191" s="59">
        <v>99445</v>
      </c>
      <c r="F1191" s="67">
        <v>4</v>
      </c>
      <c r="G1191" s="65" t="s">
        <v>5882</v>
      </c>
      <c r="H1191" s="32" t="s">
        <v>4265</v>
      </c>
      <c r="I1191" s="65" t="s">
        <v>116</v>
      </c>
      <c r="J1191" s="65" t="s">
        <v>398</v>
      </c>
      <c r="K1191" s="68" t="str">
        <f>"00029598"</f>
        <v>00029598</v>
      </c>
    </row>
    <row r="1192" spans="1:11" ht="45" customHeight="1">
      <c r="A1192" s="32">
        <v>105</v>
      </c>
      <c r="B1192" s="45" t="s">
        <v>5613</v>
      </c>
      <c r="C1192" s="65" t="s">
        <v>88</v>
      </c>
      <c r="D1192" s="66"/>
      <c r="E1192" s="59">
        <v>119054</v>
      </c>
      <c r="F1192" s="67">
        <v>4</v>
      </c>
      <c r="G1192" s="65" t="s">
        <v>5883</v>
      </c>
      <c r="H1192" s="32" t="s">
        <v>4243</v>
      </c>
      <c r="I1192" s="65" t="s">
        <v>94</v>
      </c>
      <c r="J1192" s="65" t="s">
        <v>5828</v>
      </c>
      <c r="K1192" s="68" t="str">
        <f>"00029508"</f>
        <v>00029508</v>
      </c>
    </row>
    <row r="1193" spans="1:11" ht="45" customHeight="1">
      <c r="A1193" s="32">
        <v>105</v>
      </c>
      <c r="B1193" s="45" t="s">
        <v>5613</v>
      </c>
      <c r="C1193" s="65" t="s">
        <v>88</v>
      </c>
      <c r="D1193" s="66"/>
      <c r="E1193" s="59">
        <v>48468</v>
      </c>
      <c r="F1193" s="67">
        <v>4</v>
      </c>
      <c r="G1193" s="65" t="s">
        <v>5884</v>
      </c>
      <c r="H1193" s="32" t="s">
        <v>5885</v>
      </c>
      <c r="I1193" s="65" t="s">
        <v>92</v>
      </c>
      <c r="J1193" s="65" t="s">
        <v>469</v>
      </c>
      <c r="K1193" s="68" t="str">
        <f>"00029744"</f>
        <v>00029744</v>
      </c>
    </row>
    <row r="1194" spans="1:11" ht="45" customHeight="1">
      <c r="A1194" s="32">
        <v>105</v>
      </c>
      <c r="B1194" s="45" t="s">
        <v>5613</v>
      </c>
      <c r="C1194" s="65" t="s">
        <v>88</v>
      </c>
      <c r="D1194" s="66"/>
      <c r="E1194" s="59">
        <v>106084</v>
      </c>
      <c r="F1194" s="67">
        <v>4</v>
      </c>
      <c r="G1194" s="65" t="s">
        <v>5886</v>
      </c>
      <c r="H1194" s="32" t="s">
        <v>5887</v>
      </c>
      <c r="I1194" s="65" t="s">
        <v>150</v>
      </c>
      <c r="J1194" s="65" t="s">
        <v>523</v>
      </c>
      <c r="K1194" s="68" t="str">
        <f>"00030987"</f>
        <v>00030987</v>
      </c>
    </row>
    <row r="1195" spans="1:11" ht="45" customHeight="1">
      <c r="A1195" s="32">
        <v>105</v>
      </c>
      <c r="B1195" s="45" t="s">
        <v>5613</v>
      </c>
      <c r="C1195" s="65" t="s">
        <v>88</v>
      </c>
      <c r="D1195" s="66"/>
      <c r="E1195" s="59">
        <v>102401</v>
      </c>
      <c r="F1195" s="67">
        <v>4</v>
      </c>
      <c r="G1195" s="65" t="s">
        <v>5888</v>
      </c>
      <c r="H1195" s="32" t="s">
        <v>5847</v>
      </c>
      <c r="I1195" s="65" t="s">
        <v>91</v>
      </c>
      <c r="J1195" s="65" t="s">
        <v>580</v>
      </c>
      <c r="K1195" s="68" t="str">
        <f>"00031586"</f>
        <v>00031586</v>
      </c>
    </row>
    <row r="1196" spans="1:11" ht="45" customHeight="1">
      <c r="A1196" s="32">
        <v>105</v>
      </c>
      <c r="B1196" s="45" t="s">
        <v>5613</v>
      </c>
      <c r="C1196" s="65" t="s">
        <v>88</v>
      </c>
      <c r="D1196" s="66"/>
      <c r="E1196" s="59">
        <v>24904</v>
      </c>
      <c r="F1196" s="67">
        <v>4</v>
      </c>
      <c r="G1196" s="65" t="s">
        <v>5872</v>
      </c>
      <c r="H1196" s="32" t="s">
        <v>5873</v>
      </c>
      <c r="I1196" s="65" t="s">
        <v>92</v>
      </c>
      <c r="J1196" s="65" t="s">
        <v>5874</v>
      </c>
      <c r="K1196" s="68" t="str">
        <f>"00029742"</f>
        <v>00029742</v>
      </c>
    </row>
    <row r="1197" spans="1:11" ht="45" customHeight="1">
      <c r="A1197" s="32">
        <v>105</v>
      </c>
      <c r="B1197" s="45" t="s">
        <v>5613</v>
      </c>
      <c r="C1197" s="65" t="s">
        <v>88</v>
      </c>
      <c r="D1197" s="66"/>
      <c r="E1197" s="59">
        <v>102030</v>
      </c>
      <c r="F1197" s="67">
        <v>4</v>
      </c>
      <c r="G1197" s="65" t="s">
        <v>5888</v>
      </c>
      <c r="H1197" s="32" t="s">
        <v>5847</v>
      </c>
      <c r="I1197" s="65" t="s">
        <v>91</v>
      </c>
      <c r="J1197" s="65" t="s">
        <v>580</v>
      </c>
      <c r="K1197" s="68" t="str">
        <f>"00031588"</f>
        <v>00031588</v>
      </c>
    </row>
    <row r="1198" spans="1:11" ht="45" customHeight="1">
      <c r="A1198" s="32">
        <v>105</v>
      </c>
      <c r="B1198" s="45" t="s">
        <v>5613</v>
      </c>
      <c r="C1198" s="65" t="s">
        <v>88</v>
      </c>
      <c r="D1198" s="66"/>
      <c r="E1198" s="59">
        <v>5726</v>
      </c>
      <c r="F1198" s="67">
        <v>4</v>
      </c>
      <c r="G1198" s="65" t="s">
        <v>5889</v>
      </c>
      <c r="H1198" s="32" t="s">
        <v>5890</v>
      </c>
      <c r="I1198" s="65" t="s">
        <v>92</v>
      </c>
      <c r="J1198" s="65" t="s">
        <v>5891</v>
      </c>
      <c r="K1198" s="68" t="str">
        <f>"00031689"</f>
        <v>00031689</v>
      </c>
    </row>
    <row r="1199" spans="1:11" ht="45" customHeight="1">
      <c r="A1199" s="32">
        <v>105</v>
      </c>
      <c r="B1199" s="45" t="s">
        <v>5613</v>
      </c>
      <c r="C1199" s="65" t="s">
        <v>88</v>
      </c>
      <c r="D1199" s="66"/>
      <c r="E1199" s="59">
        <v>98880</v>
      </c>
      <c r="F1199" s="67">
        <v>4</v>
      </c>
      <c r="G1199" s="65" t="s">
        <v>5888</v>
      </c>
      <c r="H1199" s="32" t="s">
        <v>5892</v>
      </c>
      <c r="I1199" s="65" t="s">
        <v>91</v>
      </c>
      <c r="J1199" s="65" t="s">
        <v>580</v>
      </c>
      <c r="K1199" s="68" t="str">
        <f>"00031677"</f>
        <v>00031677</v>
      </c>
    </row>
    <row r="1200" spans="1:11" ht="45" customHeight="1">
      <c r="A1200" s="32">
        <v>105</v>
      </c>
      <c r="B1200" s="45" t="s">
        <v>5613</v>
      </c>
      <c r="C1200" s="65" t="s">
        <v>88</v>
      </c>
      <c r="D1200" s="66"/>
      <c r="E1200" s="59">
        <v>33656</v>
      </c>
      <c r="F1200" s="67">
        <v>4</v>
      </c>
      <c r="G1200" s="69" t="s">
        <v>5893</v>
      </c>
      <c r="H1200" s="32" t="s">
        <v>5894</v>
      </c>
      <c r="I1200" s="65" t="s">
        <v>120</v>
      </c>
      <c r="J1200" s="65" t="s">
        <v>418</v>
      </c>
      <c r="K1200" s="68" t="str">
        <f>"00031219"</f>
        <v>00031219</v>
      </c>
    </row>
    <row r="1201" spans="1:11" ht="45" customHeight="1">
      <c r="A1201" s="32">
        <v>105</v>
      </c>
      <c r="B1201" s="45" t="s">
        <v>5613</v>
      </c>
      <c r="C1201" s="65" t="s">
        <v>88</v>
      </c>
      <c r="D1201" s="66"/>
      <c r="E1201" s="59">
        <v>5726</v>
      </c>
      <c r="F1201" s="67">
        <v>4</v>
      </c>
      <c r="G1201" s="65" t="s">
        <v>5889</v>
      </c>
      <c r="H1201" s="32" t="s">
        <v>5890</v>
      </c>
      <c r="I1201" s="65" t="s">
        <v>92</v>
      </c>
      <c r="J1201" s="65" t="s">
        <v>5891</v>
      </c>
      <c r="K1201" s="68" t="str">
        <f>"00031690"</f>
        <v>00031690</v>
      </c>
    </row>
    <row r="1202" spans="1:11" ht="45" customHeight="1">
      <c r="A1202" s="32">
        <v>105</v>
      </c>
      <c r="B1202" s="45" t="s">
        <v>186</v>
      </c>
      <c r="C1202" s="65" t="s">
        <v>88</v>
      </c>
      <c r="D1202" s="66">
        <v>815000</v>
      </c>
      <c r="E1202" s="59"/>
      <c r="F1202" s="67">
        <v>4</v>
      </c>
      <c r="G1202" s="65" t="s">
        <v>405</v>
      </c>
      <c r="H1202" s="32"/>
      <c r="I1202" s="65" t="s">
        <v>696</v>
      </c>
      <c r="J1202" s="65"/>
      <c r="K1202" s="93" t="str">
        <f>"　"</f>
        <v>　</v>
      </c>
    </row>
    <row r="1203" spans="1:11" ht="45" customHeight="1">
      <c r="A1203" s="32">
        <v>105</v>
      </c>
      <c r="B1203" s="45" t="s">
        <v>4956</v>
      </c>
      <c r="C1203" s="65" t="s">
        <v>88</v>
      </c>
      <c r="D1203" s="66"/>
      <c r="E1203" s="59">
        <v>50645</v>
      </c>
      <c r="F1203" s="67">
        <v>4</v>
      </c>
      <c r="G1203" s="65" t="s">
        <v>4957</v>
      </c>
      <c r="H1203" s="32" t="s">
        <v>4958</v>
      </c>
      <c r="I1203" s="65" t="s">
        <v>92</v>
      </c>
      <c r="J1203" s="65" t="s">
        <v>400</v>
      </c>
      <c r="K1203" s="68" t="str">
        <f>"00030884"</f>
        <v>00030884</v>
      </c>
    </row>
    <row r="1204" spans="1:11" ht="45" customHeight="1">
      <c r="A1204" s="32">
        <v>105</v>
      </c>
      <c r="B1204" s="45" t="s">
        <v>4956</v>
      </c>
      <c r="C1204" s="65" t="s">
        <v>88</v>
      </c>
      <c r="D1204" s="66"/>
      <c r="E1204" s="59">
        <v>73593</v>
      </c>
      <c r="F1204" s="67">
        <v>4</v>
      </c>
      <c r="G1204" s="65" t="s">
        <v>4959</v>
      </c>
      <c r="H1204" s="32" t="s">
        <v>4960</v>
      </c>
      <c r="I1204" s="65" t="s">
        <v>107</v>
      </c>
      <c r="J1204" s="70" t="s">
        <v>4961</v>
      </c>
      <c r="K1204" s="68" t="str">
        <f>"00027971"</f>
        <v>00027971</v>
      </c>
    </row>
    <row r="1205" spans="1:11" ht="45" customHeight="1">
      <c r="A1205" s="32">
        <v>105</v>
      </c>
      <c r="B1205" s="45" t="s">
        <v>4956</v>
      </c>
      <c r="C1205" s="65" t="s">
        <v>88</v>
      </c>
      <c r="D1205" s="66"/>
      <c r="E1205" s="59">
        <v>77738</v>
      </c>
      <c r="F1205" s="67">
        <v>4</v>
      </c>
      <c r="G1205" s="65" t="s">
        <v>4962</v>
      </c>
      <c r="H1205" s="32" t="s">
        <v>4963</v>
      </c>
      <c r="I1205" s="65" t="s">
        <v>107</v>
      </c>
      <c r="J1205" s="65" t="s">
        <v>576</v>
      </c>
      <c r="K1205" s="68" t="str">
        <f>"00032152"</f>
        <v>00032152</v>
      </c>
    </row>
    <row r="1206" spans="1:11" ht="45" customHeight="1">
      <c r="A1206" s="32">
        <v>105</v>
      </c>
      <c r="B1206" s="45" t="s">
        <v>4956</v>
      </c>
      <c r="C1206" s="65" t="s">
        <v>88</v>
      </c>
      <c r="D1206" s="66"/>
      <c r="E1206" s="59">
        <v>69116</v>
      </c>
      <c r="F1206" s="67">
        <v>4</v>
      </c>
      <c r="G1206" s="65" t="s">
        <v>4964</v>
      </c>
      <c r="H1206" s="32" t="s">
        <v>4965</v>
      </c>
      <c r="I1206" s="65" t="s">
        <v>92</v>
      </c>
      <c r="J1206" s="65" t="s">
        <v>400</v>
      </c>
      <c r="K1206" s="68" t="str">
        <f>"00029604"</f>
        <v>00029604</v>
      </c>
    </row>
    <row r="1207" spans="1:11" ht="45" customHeight="1">
      <c r="A1207" s="32">
        <v>105</v>
      </c>
      <c r="B1207" s="45" t="s">
        <v>186</v>
      </c>
      <c r="C1207" s="65" t="s">
        <v>88</v>
      </c>
      <c r="D1207" s="66">
        <v>625000</v>
      </c>
      <c r="E1207" s="59"/>
      <c r="F1207" s="67">
        <v>4</v>
      </c>
      <c r="G1207" s="65" t="s">
        <v>405</v>
      </c>
      <c r="H1207" s="32"/>
      <c r="I1207" s="65" t="s">
        <v>45</v>
      </c>
      <c r="J1207" s="65"/>
      <c r="K1207" s="93" t="str">
        <f>"　"</f>
        <v>　</v>
      </c>
    </row>
    <row r="1208" spans="1:11" ht="45" customHeight="1">
      <c r="A1208" s="32">
        <v>105</v>
      </c>
      <c r="B1208" s="45" t="s">
        <v>186</v>
      </c>
      <c r="C1208" s="65" t="s">
        <v>88</v>
      </c>
      <c r="D1208" s="66">
        <v>3291000</v>
      </c>
      <c r="E1208" s="59"/>
      <c r="F1208" s="67">
        <v>4</v>
      </c>
      <c r="G1208" s="65" t="s">
        <v>3228</v>
      </c>
      <c r="H1208" s="32"/>
      <c r="I1208" s="65" t="s">
        <v>45</v>
      </c>
      <c r="J1208" s="65"/>
      <c r="K1208" s="93" t="str">
        <f>"　"</f>
        <v>　</v>
      </c>
    </row>
    <row r="1209" spans="1:11" ht="45" customHeight="1">
      <c r="A1209" s="32">
        <v>105</v>
      </c>
      <c r="B1209" s="45" t="s">
        <v>3233</v>
      </c>
      <c r="C1209" s="65" t="s">
        <v>88</v>
      </c>
      <c r="D1209" s="66"/>
      <c r="E1209" s="59">
        <v>82136</v>
      </c>
      <c r="F1209" s="67">
        <v>4</v>
      </c>
      <c r="G1209" s="79" t="s">
        <v>3234</v>
      </c>
      <c r="H1209" s="32" t="s">
        <v>3235</v>
      </c>
      <c r="I1209" s="65" t="s">
        <v>533</v>
      </c>
      <c r="J1209" s="65" t="s">
        <v>3236</v>
      </c>
      <c r="K1209" s="68" t="str">
        <f>"00029072"</f>
        <v>00029072</v>
      </c>
    </row>
    <row r="1210" spans="1:11" ht="45" customHeight="1">
      <c r="A1210" s="32">
        <v>105</v>
      </c>
      <c r="B1210" s="45" t="s">
        <v>3233</v>
      </c>
      <c r="C1210" s="65" t="s">
        <v>88</v>
      </c>
      <c r="D1210" s="66"/>
      <c r="E1210" s="59">
        <v>98019</v>
      </c>
      <c r="F1210" s="67">
        <v>4</v>
      </c>
      <c r="G1210" s="72" t="s">
        <v>3237</v>
      </c>
      <c r="H1210" s="32" t="s">
        <v>3238</v>
      </c>
      <c r="I1210" s="65" t="s">
        <v>116</v>
      </c>
      <c r="J1210" s="65" t="s">
        <v>3239</v>
      </c>
      <c r="K1210" s="68" t="str">
        <f>"00030791"</f>
        <v>00030791</v>
      </c>
    </row>
    <row r="1211" spans="1:11" ht="45" customHeight="1">
      <c r="A1211" s="32">
        <v>105</v>
      </c>
      <c r="B1211" s="45" t="s">
        <v>3233</v>
      </c>
      <c r="C1211" s="65" t="s">
        <v>88</v>
      </c>
      <c r="D1211" s="66"/>
      <c r="E1211" s="59">
        <v>82137</v>
      </c>
      <c r="F1211" s="67">
        <v>4</v>
      </c>
      <c r="G1211" s="79" t="s">
        <v>3234</v>
      </c>
      <c r="H1211" s="32" t="s">
        <v>3235</v>
      </c>
      <c r="I1211" s="65" t="s">
        <v>533</v>
      </c>
      <c r="J1211" s="65" t="s">
        <v>3236</v>
      </c>
      <c r="K1211" s="68" t="str">
        <f>"00028962"</f>
        <v>00028962</v>
      </c>
    </row>
    <row r="1212" spans="1:11" ht="45" customHeight="1">
      <c r="A1212" s="32">
        <v>105</v>
      </c>
      <c r="B1212" s="45" t="s">
        <v>3233</v>
      </c>
      <c r="C1212" s="65" t="s">
        <v>88</v>
      </c>
      <c r="D1212" s="66"/>
      <c r="E1212" s="59">
        <v>85675</v>
      </c>
      <c r="F1212" s="67">
        <v>4</v>
      </c>
      <c r="G1212" s="65" t="s">
        <v>3240</v>
      </c>
      <c r="H1212" s="32" t="s">
        <v>3241</v>
      </c>
      <c r="I1212" s="65" t="s">
        <v>107</v>
      </c>
      <c r="J1212" s="65" t="s">
        <v>399</v>
      </c>
      <c r="K1212" s="68" t="s">
        <v>3231</v>
      </c>
    </row>
    <row r="1213" spans="1:11" ht="45" customHeight="1">
      <c r="A1213" s="32">
        <v>105</v>
      </c>
      <c r="B1213" s="45" t="s">
        <v>3233</v>
      </c>
      <c r="C1213" s="65" t="s">
        <v>88</v>
      </c>
      <c r="D1213" s="66"/>
      <c r="E1213" s="59">
        <v>126796</v>
      </c>
      <c r="F1213" s="67">
        <v>4</v>
      </c>
      <c r="G1213" s="65" t="s">
        <v>3242</v>
      </c>
      <c r="H1213" s="32" t="s">
        <v>3243</v>
      </c>
      <c r="I1213" s="65" t="s">
        <v>91</v>
      </c>
      <c r="J1213" s="65" t="s">
        <v>603</v>
      </c>
      <c r="K1213" s="73" t="s">
        <v>3253</v>
      </c>
    </row>
    <row r="1214" spans="1:11" ht="45" customHeight="1">
      <c r="A1214" s="32">
        <v>105</v>
      </c>
      <c r="B1214" s="45" t="s">
        <v>3233</v>
      </c>
      <c r="C1214" s="65" t="s">
        <v>88</v>
      </c>
      <c r="D1214" s="66"/>
      <c r="E1214" s="59">
        <v>424048</v>
      </c>
      <c r="F1214" s="67">
        <v>4</v>
      </c>
      <c r="G1214" s="74" t="s">
        <v>3244</v>
      </c>
      <c r="H1214" s="32" t="s">
        <v>3245</v>
      </c>
      <c r="I1214" s="69" t="s">
        <v>2036</v>
      </c>
      <c r="J1214" s="69" t="s">
        <v>3246</v>
      </c>
      <c r="K1214" s="68" t="str">
        <f>"00030964"</f>
        <v>00030964</v>
      </c>
    </row>
    <row r="1215" spans="1:11" ht="45" customHeight="1">
      <c r="A1215" s="32">
        <v>105</v>
      </c>
      <c r="B1215" s="45" t="s">
        <v>3233</v>
      </c>
      <c r="C1215" s="65" t="s">
        <v>88</v>
      </c>
      <c r="D1215" s="66"/>
      <c r="E1215" s="59">
        <v>21375</v>
      </c>
      <c r="F1215" s="67">
        <v>4</v>
      </c>
      <c r="G1215" s="65" t="s">
        <v>3247</v>
      </c>
      <c r="H1215" s="32" t="s">
        <v>3248</v>
      </c>
      <c r="I1215" s="65" t="s">
        <v>161</v>
      </c>
      <c r="J1215" s="65" t="s">
        <v>3249</v>
      </c>
      <c r="K1215" s="68" t="s">
        <v>3232</v>
      </c>
    </row>
    <row r="1216" spans="1:11" ht="45" customHeight="1">
      <c r="A1216" s="32">
        <v>105</v>
      </c>
      <c r="B1216" s="45" t="s">
        <v>3233</v>
      </c>
      <c r="C1216" s="65" t="s">
        <v>88</v>
      </c>
      <c r="D1216" s="66"/>
      <c r="E1216" s="59">
        <v>19068</v>
      </c>
      <c r="F1216" s="67">
        <v>4</v>
      </c>
      <c r="G1216" s="65" t="s">
        <v>3250</v>
      </c>
      <c r="H1216" s="32" t="s">
        <v>3251</v>
      </c>
      <c r="I1216" s="65" t="s">
        <v>107</v>
      </c>
      <c r="J1216" s="65" t="s">
        <v>3252</v>
      </c>
      <c r="K1216" s="68" t="str">
        <f>"00032726"</f>
        <v>00032726</v>
      </c>
    </row>
    <row r="1217" spans="1:11" ht="45" customHeight="1">
      <c r="A1217" s="158" t="s">
        <v>599</v>
      </c>
      <c r="B1217" s="158"/>
      <c r="C1217" s="35"/>
      <c r="D1217" s="35"/>
      <c r="E1217" s="35"/>
      <c r="F1217" s="35"/>
      <c r="G1217" s="35"/>
      <c r="H1217" s="35"/>
      <c r="I1217" s="35"/>
      <c r="J1217" s="35"/>
      <c r="K1217" s="35"/>
    </row>
    <row r="1218" spans="1:11" ht="45" customHeight="1">
      <c r="A1218" s="32">
        <v>105</v>
      </c>
      <c r="B1218" s="45" t="s">
        <v>186</v>
      </c>
      <c r="C1218" s="65" t="s">
        <v>88</v>
      </c>
      <c r="D1218" s="66">
        <v>2025000</v>
      </c>
      <c r="E1218" s="59"/>
      <c r="F1218" s="67">
        <v>1</v>
      </c>
      <c r="G1218" s="65" t="s">
        <v>405</v>
      </c>
      <c r="H1218" s="32"/>
      <c r="I1218" s="65" t="s">
        <v>45</v>
      </c>
      <c r="J1218" s="65"/>
      <c r="K1218" s="94" t="str">
        <f>"　"</f>
        <v>　</v>
      </c>
    </row>
    <row r="1219" spans="1:11" ht="45" customHeight="1">
      <c r="A1219" s="32">
        <v>105</v>
      </c>
      <c r="B1219" s="45" t="s">
        <v>2038</v>
      </c>
      <c r="C1219" s="65" t="s">
        <v>88</v>
      </c>
      <c r="D1219" s="66"/>
      <c r="E1219" s="59">
        <v>84108</v>
      </c>
      <c r="F1219" s="67">
        <v>1</v>
      </c>
      <c r="G1219" s="69" t="s">
        <v>4788</v>
      </c>
      <c r="H1219" s="32" t="s">
        <v>2007</v>
      </c>
      <c r="I1219" s="65" t="s">
        <v>107</v>
      </c>
      <c r="J1219" s="65" t="s">
        <v>2039</v>
      </c>
      <c r="K1219" s="68" t="str">
        <f>"00030552"</f>
        <v>00030552</v>
      </c>
    </row>
    <row r="1220" spans="1:11" ht="45" customHeight="1">
      <c r="A1220" s="32">
        <v>105</v>
      </c>
      <c r="B1220" s="45" t="s">
        <v>186</v>
      </c>
      <c r="C1220" s="65" t="s">
        <v>88</v>
      </c>
      <c r="D1220" s="66">
        <v>245000</v>
      </c>
      <c r="E1220" s="59"/>
      <c r="F1220" s="67">
        <v>1</v>
      </c>
      <c r="G1220" s="65" t="s">
        <v>3228</v>
      </c>
      <c r="H1220" s="32"/>
      <c r="I1220" s="65" t="s">
        <v>45</v>
      </c>
      <c r="J1220" s="65"/>
      <c r="K1220" s="94" t="str">
        <f>"　"</f>
        <v>　</v>
      </c>
    </row>
    <row r="1221" spans="1:11" ht="45" customHeight="1">
      <c r="A1221" s="32">
        <v>105</v>
      </c>
      <c r="B1221" s="45" t="s">
        <v>797</v>
      </c>
      <c r="C1221" s="65" t="s">
        <v>88</v>
      </c>
      <c r="D1221" s="66"/>
      <c r="E1221" s="59">
        <v>10937</v>
      </c>
      <c r="F1221" s="67">
        <v>1</v>
      </c>
      <c r="G1221" s="65" t="s">
        <v>3254</v>
      </c>
      <c r="H1221" s="32" t="s">
        <v>2040</v>
      </c>
      <c r="I1221" s="65" t="s">
        <v>92</v>
      </c>
      <c r="J1221" s="65" t="s">
        <v>355</v>
      </c>
      <c r="K1221" s="68" t="str">
        <f>"00031932"</f>
        <v>00031932</v>
      </c>
    </row>
    <row r="1222" spans="1:11" ht="45" customHeight="1">
      <c r="A1222" s="158" t="s">
        <v>193</v>
      </c>
      <c r="B1222" s="158"/>
      <c r="C1222" s="45"/>
      <c r="D1222" s="46"/>
      <c r="E1222" s="47"/>
      <c r="F1222" s="48"/>
      <c r="G1222" s="45"/>
      <c r="H1222" s="30"/>
      <c r="I1222" s="45"/>
      <c r="J1222" s="45"/>
      <c r="K1222" s="93"/>
    </row>
    <row r="1223" spans="1:11" ht="45" customHeight="1">
      <c r="A1223" s="32">
        <v>105</v>
      </c>
      <c r="B1223" s="45" t="s">
        <v>0</v>
      </c>
      <c r="C1223" s="65" t="s">
        <v>88</v>
      </c>
      <c r="D1223" s="66">
        <v>200000</v>
      </c>
      <c r="E1223" s="59"/>
      <c r="F1223" s="67">
        <v>3</v>
      </c>
      <c r="G1223" s="65" t="s">
        <v>442</v>
      </c>
      <c r="H1223" s="32"/>
      <c r="I1223" s="65" t="s">
        <v>45</v>
      </c>
      <c r="J1223" s="65"/>
      <c r="K1223" s="94" t="str">
        <f>"　"</f>
        <v>　</v>
      </c>
    </row>
    <row r="1224" spans="1:11" ht="45" customHeight="1">
      <c r="A1224" s="32">
        <v>105</v>
      </c>
      <c r="B1224" s="45" t="s">
        <v>682</v>
      </c>
      <c r="C1224" s="65" t="s">
        <v>88</v>
      </c>
      <c r="D1224" s="66"/>
      <c r="E1224" s="59">
        <v>104215</v>
      </c>
      <c r="F1224" s="67">
        <v>3</v>
      </c>
      <c r="G1224" s="79" t="s">
        <v>3760</v>
      </c>
      <c r="H1224" s="32" t="s">
        <v>2041</v>
      </c>
      <c r="I1224" s="65" t="s">
        <v>104</v>
      </c>
      <c r="J1224" s="79" t="s">
        <v>686</v>
      </c>
      <c r="K1224" s="68" t="str">
        <f>"00030123"</f>
        <v>00030123</v>
      </c>
    </row>
    <row r="1225" spans="1:11" ht="45" customHeight="1">
      <c r="A1225" s="32">
        <v>105</v>
      </c>
      <c r="B1225" s="45" t="s">
        <v>682</v>
      </c>
      <c r="C1225" s="65" t="s">
        <v>88</v>
      </c>
      <c r="D1225" s="66"/>
      <c r="E1225" s="59">
        <v>64208</v>
      </c>
      <c r="F1225" s="67">
        <v>3</v>
      </c>
      <c r="G1225" s="72" t="s">
        <v>3757</v>
      </c>
      <c r="H1225" s="32" t="s">
        <v>2030</v>
      </c>
      <c r="I1225" s="65" t="s">
        <v>264</v>
      </c>
      <c r="J1225" s="79" t="s">
        <v>2031</v>
      </c>
      <c r="K1225" s="68" t="str">
        <f>"00030570"</f>
        <v>00030570</v>
      </c>
    </row>
    <row r="1226" spans="1:11" ht="45" customHeight="1">
      <c r="A1226" s="32">
        <v>105</v>
      </c>
      <c r="B1226" s="45" t="s">
        <v>0</v>
      </c>
      <c r="C1226" s="65" t="s">
        <v>88</v>
      </c>
      <c r="D1226" s="66">
        <v>1200000</v>
      </c>
      <c r="E1226" s="59"/>
      <c r="F1226" s="67">
        <v>3</v>
      </c>
      <c r="G1226" s="65" t="s">
        <v>589</v>
      </c>
      <c r="H1226" s="32"/>
      <c r="I1226" s="65" t="s">
        <v>45</v>
      </c>
      <c r="J1226" s="65"/>
      <c r="K1226" s="68" t="str">
        <f>"　"</f>
        <v>　</v>
      </c>
    </row>
    <row r="1227" spans="1:11" ht="45" customHeight="1">
      <c r="A1227" s="32">
        <v>105</v>
      </c>
      <c r="B1227" s="45" t="s">
        <v>186</v>
      </c>
      <c r="C1227" s="65" t="s">
        <v>88</v>
      </c>
      <c r="D1227" s="66">
        <v>286000</v>
      </c>
      <c r="E1227" s="59"/>
      <c r="F1227" s="67">
        <v>3</v>
      </c>
      <c r="G1227" s="65" t="s">
        <v>3228</v>
      </c>
      <c r="H1227" s="32"/>
      <c r="I1227" s="65" t="s">
        <v>45</v>
      </c>
      <c r="J1227" s="65"/>
      <c r="K1227" s="68" t="str">
        <f>"　"</f>
        <v>　</v>
      </c>
    </row>
    <row r="1228" spans="1:11" ht="45" customHeight="1">
      <c r="A1228" s="32">
        <v>105</v>
      </c>
      <c r="B1228" s="45" t="s">
        <v>3233</v>
      </c>
      <c r="C1228" s="65" t="s">
        <v>88</v>
      </c>
      <c r="D1228" s="66"/>
      <c r="E1228" s="59">
        <v>141585</v>
      </c>
      <c r="F1228" s="67">
        <v>3</v>
      </c>
      <c r="G1228" s="69" t="s">
        <v>3255</v>
      </c>
      <c r="H1228" s="32" t="s">
        <v>2042</v>
      </c>
      <c r="I1228" s="65" t="s">
        <v>107</v>
      </c>
      <c r="J1228" s="79" t="s">
        <v>2043</v>
      </c>
      <c r="K1228" s="68" t="s">
        <v>3256</v>
      </c>
    </row>
    <row r="1229" spans="1:11" ht="45" customHeight="1">
      <c r="A1229" s="32">
        <v>105</v>
      </c>
      <c r="B1229" s="45" t="s">
        <v>3233</v>
      </c>
      <c r="C1229" s="65" t="s">
        <v>88</v>
      </c>
      <c r="D1229" s="66"/>
      <c r="E1229" s="59">
        <v>44363</v>
      </c>
      <c r="F1229" s="67">
        <v>3</v>
      </c>
      <c r="G1229" s="65" t="s">
        <v>3257</v>
      </c>
      <c r="H1229" s="32" t="s">
        <v>1754</v>
      </c>
      <c r="I1229" s="65" t="s">
        <v>92</v>
      </c>
      <c r="J1229" s="65" t="s">
        <v>106</v>
      </c>
      <c r="K1229" s="73" t="s">
        <v>3258</v>
      </c>
    </row>
    <row r="1230" spans="1:11" ht="45" customHeight="1">
      <c r="A1230" s="32">
        <v>105</v>
      </c>
      <c r="B1230" s="45" t="s">
        <v>4333</v>
      </c>
      <c r="C1230" s="65" t="s">
        <v>88</v>
      </c>
      <c r="D1230" s="66"/>
      <c r="E1230" s="59">
        <v>20608</v>
      </c>
      <c r="F1230" s="67">
        <v>3</v>
      </c>
      <c r="G1230" s="71" t="s">
        <v>4338</v>
      </c>
      <c r="H1230" s="32" t="s">
        <v>1149</v>
      </c>
      <c r="I1230" s="65" t="s">
        <v>150</v>
      </c>
      <c r="J1230" s="65" t="s">
        <v>151</v>
      </c>
      <c r="K1230" s="68" t="str">
        <f>"00027918"</f>
        <v>00027918</v>
      </c>
    </row>
    <row r="1231" spans="1:11" ht="45" customHeight="1">
      <c r="A1231" s="32">
        <v>105</v>
      </c>
      <c r="B1231" s="45" t="s">
        <v>4334</v>
      </c>
      <c r="C1231" s="65" t="s">
        <v>88</v>
      </c>
      <c r="D1231" s="66"/>
      <c r="E1231" s="59">
        <v>28010</v>
      </c>
      <c r="F1231" s="67">
        <v>3</v>
      </c>
      <c r="G1231" s="65" t="s">
        <v>4339</v>
      </c>
      <c r="H1231" s="32" t="s">
        <v>4335</v>
      </c>
      <c r="I1231" s="65" t="s">
        <v>255</v>
      </c>
      <c r="J1231" s="65" t="s">
        <v>1107</v>
      </c>
      <c r="K1231" s="68" t="str">
        <f>"00029858"</f>
        <v>00029858</v>
      </c>
    </row>
    <row r="1232" spans="1:11" ht="45" customHeight="1">
      <c r="A1232" s="32">
        <v>105</v>
      </c>
      <c r="B1232" s="45" t="s">
        <v>4336</v>
      </c>
      <c r="C1232" s="65" t="s">
        <v>88</v>
      </c>
      <c r="D1232" s="66"/>
      <c r="E1232" s="59">
        <v>30432</v>
      </c>
      <c r="F1232" s="67">
        <v>3</v>
      </c>
      <c r="G1232" s="71" t="s">
        <v>4340</v>
      </c>
      <c r="H1232" s="32" t="s">
        <v>4337</v>
      </c>
      <c r="I1232" s="65" t="s">
        <v>107</v>
      </c>
      <c r="J1232" s="65" t="s">
        <v>1444</v>
      </c>
      <c r="K1232" s="68" t="str">
        <f>"00027916"</f>
        <v>00027916</v>
      </c>
    </row>
    <row r="1233" spans="1:11" ht="45" customHeight="1">
      <c r="A1233" s="32">
        <v>105</v>
      </c>
      <c r="B1233" s="45" t="s">
        <v>3568</v>
      </c>
      <c r="C1233" s="65" t="s">
        <v>88</v>
      </c>
      <c r="D1233" s="66"/>
      <c r="E1233" s="59">
        <v>110906</v>
      </c>
      <c r="F1233" s="67">
        <v>3</v>
      </c>
      <c r="G1233" s="65" t="s">
        <v>3572</v>
      </c>
      <c r="H1233" s="32" t="s">
        <v>2595</v>
      </c>
      <c r="I1233" s="65" t="s">
        <v>107</v>
      </c>
      <c r="J1233" s="69" t="s">
        <v>3569</v>
      </c>
      <c r="K1233" s="68" t="str">
        <f>"00028453"</f>
        <v>00028453</v>
      </c>
    </row>
    <row r="1234" spans="1:11" ht="45" customHeight="1">
      <c r="A1234" s="32">
        <v>105</v>
      </c>
      <c r="B1234" s="45" t="s">
        <v>3570</v>
      </c>
      <c r="C1234" s="65" t="s">
        <v>88</v>
      </c>
      <c r="D1234" s="66"/>
      <c r="E1234" s="59">
        <v>10191</v>
      </c>
      <c r="F1234" s="67">
        <v>3</v>
      </c>
      <c r="G1234" s="65" t="s">
        <v>3573</v>
      </c>
      <c r="H1234" s="32" t="s">
        <v>3571</v>
      </c>
      <c r="I1234" s="65" t="s">
        <v>120</v>
      </c>
      <c r="J1234" s="65" t="s">
        <v>120</v>
      </c>
      <c r="K1234" s="68" t="str">
        <f>"00030606"</f>
        <v>00030606</v>
      </c>
    </row>
    <row r="1235" spans="1:11" ht="45" customHeight="1">
      <c r="A1235" s="32">
        <v>104</v>
      </c>
      <c r="B1235" s="45" t="s">
        <v>194</v>
      </c>
      <c r="C1235" s="65" t="s">
        <v>89</v>
      </c>
      <c r="D1235" s="66"/>
      <c r="E1235" s="59">
        <v>-4500</v>
      </c>
      <c r="F1235" s="67">
        <v>3</v>
      </c>
      <c r="G1235" s="65" t="s">
        <v>407</v>
      </c>
      <c r="H1235" s="32" t="s">
        <v>195</v>
      </c>
      <c r="I1235" s="65" t="s">
        <v>196</v>
      </c>
      <c r="J1235" s="65" t="s">
        <v>197</v>
      </c>
      <c r="K1235" s="81" t="s">
        <v>3648</v>
      </c>
    </row>
    <row r="1236" spans="1:11" ht="45" customHeight="1">
      <c r="A1236" s="32">
        <v>105</v>
      </c>
      <c r="B1236" s="45" t="s">
        <v>5610</v>
      </c>
      <c r="C1236" s="65" t="s">
        <v>88</v>
      </c>
      <c r="D1236" s="66"/>
      <c r="E1236" s="59">
        <v>50000</v>
      </c>
      <c r="F1236" s="67">
        <v>3</v>
      </c>
      <c r="G1236" s="65" t="s">
        <v>5895</v>
      </c>
      <c r="H1236" s="32" t="s">
        <v>1637</v>
      </c>
      <c r="I1236" s="65" t="s">
        <v>107</v>
      </c>
      <c r="J1236" s="65" t="s">
        <v>108</v>
      </c>
      <c r="K1236" s="68" t="str">
        <f>"00032881"</f>
        <v>00032881</v>
      </c>
    </row>
    <row r="1237" spans="1:11" ht="45" customHeight="1">
      <c r="A1237" s="32">
        <v>105</v>
      </c>
      <c r="B1237" s="45" t="s">
        <v>3401</v>
      </c>
      <c r="C1237" s="65" t="s">
        <v>88</v>
      </c>
      <c r="D1237" s="66"/>
      <c r="E1237" s="59">
        <v>108368</v>
      </c>
      <c r="F1237" s="67">
        <v>3</v>
      </c>
      <c r="G1237" s="71" t="s">
        <v>3403</v>
      </c>
      <c r="H1237" s="32" t="s">
        <v>3402</v>
      </c>
      <c r="I1237" s="65" t="s">
        <v>92</v>
      </c>
      <c r="J1237" s="65" t="s">
        <v>691</v>
      </c>
      <c r="K1237" s="68" t="str">
        <f>"00030920"</f>
        <v>00030920</v>
      </c>
    </row>
    <row r="1238" spans="1:11" ht="45" customHeight="1">
      <c r="A1238" s="32">
        <v>105</v>
      </c>
      <c r="B1238" s="45" t="s">
        <v>3668</v>
      </c>
      <c r="C1238" s="65" t="s">
        <v>88</v>
      </c>
      <c r="D1238" s="66"/>
      <c r="E1238" s="59">
        <v>41735</v>
      </c>
      <c r="F1238" s="67">
        <v>3</v>
      </c>
      <c r="G1238" s="72" t="s">
        <v>3671</v>
      </c>
      <c r="H1238" s="32" t="s">
        <v>3669</v>
      </c>
      <c r="I1238" s="65" t="s">
        <v>107</v>
      </c>
      <c r="J1238" s="72" t="s">
        <v>3670</v>
      </c>
      <c r="K1238" s="81" t="str">
        <f>"00028809"</f>
        <v>00028809</v>
      </c>
    </row>
    <row r="1239" spans="1:11" ht="45" customHeight="1">
      <c r="A1239" s="32">
        <v>105</v>
      </c>
      <c r="B1239" s="51" t="s">
        <v>3719</v>
      </c>
      <c r="C1239" s="65" t="s">
        <v>88</v>
      </c>
      <c r="D1239" s="66"/>
      <c r="E1239" s="59">
        <v>35520</v>
      </c>
      <c r="F1239" s="67">
        <v>3</v>
      </c>
      <c r="G1239" s="65" t="s">
        <v>3720</v>
      </c>
      <c r="H1239" s="32" t="s">
        <v>2015</v>
      </c>
      <c r="I1239" s="65" t="s">
        <v>92</v>
      </c>
      <c r="J1239" s="65" t="s">
        <v>93</v>
      </c>
      <c r="K1239" s="151" t="s">
        <v>6134</v>
      </c>
    </row>
    <row r="1240" spans="1:11" ht="45" customHeight="1">
      <c r="A1240" s="32">
        <v>105</v>
      </c>
      <c r="B1240" s="45" t="s">
        <v>3762</v>
      </c>
      <c r="C1240" s="65" t="s">
        <v>88</v>
      </c>
      <c r="D1240" s="66"/>
      <c r="E1240" s="59">
        <v>1527</v>
      </c>
      <c r="F1240" s="67">
        <v>3</v>
      </c>
      <c r="G1240" s="74" t="s">
        <v>3765</v>
      </c>
      <c r="H1240" s="32" t="s">
        <v>3763</v>
      </c>
      <c r="I1240" s="65" t="s">
        <v>92</v>
      </c>
      <c r="J1240" s="65" t="s">
        <v>3764</v>
      </c>
      <c r="K1240" s="68" t="str">
        <f>"00030283"</f>
        <v>00030283</v>
      </c>
    </row>
    <row r="1241" spans="1:11" ht="45" customHeight="1">
      <c r="A1241" s="32">
        <v>105</v>
      </c>
      <c r="B1241" s="45" t="s">
        <v>4031</v>
      </c>
      <c r="C1241" s="65" t="s">
        <v>88</v>
      </c>
      <c r="D1241" s="66"/>
      <c r="E1241" s="59">
        <v>137187</v>
      </c>
      <c r="F1241" s="67">
        <v>3</v>
      </c>
      <c r="G1241" s="65" t="s">
        <v>4044</v>
      </c>
      <c r="H1241" s="32" t="s">
        <v>4032</v>
      </c>
      <c r="I1241" s="65" t="s">
        <v>107</v>
      </c>
      <c r="J1241" s="65" t="s">
        <v>2027</v>
      </c>
      <c r="K1241" s="68" t="str">
        <f>"00027259"</f>
        <v>00027259</v>
      </c>
    </row>
    <row r="1242" spans="1:11" ht="45" customHeight="1">
      <c r="A1242" s="32">
        <v>105</v>
      </c>
      <c r="B1242" s="45" t="s">
        <v>4033</v>
      </c>
      <c r="C1242" s="65" t="s">
        <v>88</v>
      </c>
      <c r="D1242" s="66"/>
      <c r="E1242" s="59">
        <v>48599</v>
      </c>
      <c r="F1242" s="67">
        <v>3</v>
      </c>
      <c r="G1242" s="72" t="s">
        <v>4040</v>
      </c>
      <c r="H1242" s="32" t="s">
        <v>4034</v>
      </c>
      <c r="I1242" s="65" t="s">
        <v>92</v>
      </c>
      <c r="J1242" s="65" t="s">
        <v>4035</v>
      </c>
      <c r="K1242" s="68" t="str">
        <f>"00028000"</f>
        <v>00028000</v>
      </c>
    </row>
    <row r="1243" spans="1:11" ht="45" customHeight="1">
      <c r="A1243" s="32">
        <v>105</v>
      </c>
      <c r="B1243" s="45" t="s">
        <v>4036</v>
      </c>
      <c r="C1243" s="65" t="s">
        <v>88</v>
      </c>
      <c r="D1243" s="66"/>
      <c r="E1243" s="59">
        <v>90744</v>
      </c>
      <c r="F1243" s="67">
        <v>3</v>
      </c>
      <c r="G1243" s="69" t="s">
        <v>4041</v>
      </c>
      <c r="H1243" s="32" t="s">
        <v>4037</v>
      </c>
      <c r="I1243" s="65" t="s">
        <v>177</v>
      </c>
      <c r="J1243" s="65" t="s">
        <v>4038</v>
      </c>
      <c r="K1243" s="68" t="str">
        <f>"00031278"</f>
        <v>00031278</v>
      </c>
    </row>
    <row r="1244" spans="1:11" ht="45" customHeight="1">
      <c r="A1244" s="32">
        <v>105</v>
      </c>
      <c r="B1244" s="45" t="s">
        <v>4036</v>
      </c>
      <c r="C1244" s="65" t="s">
        <v>88</v>
      </c>
      <c r="D1244" s="66"/>
      <c r="E1244" s="59">
        <v>85410</v>
      </c>
      <c r="F1244" s="67">
        <v>3</v>
      </c>
      <c r="G1244" s="72" t="s">
        <v>4042</v>
      </c>
      <c r="H1244" s="32" t="s">
        <v>4039</v>
      </c>
      <c r="I1244" s="65" t="s">
        <v>177</v>
      </c>
      <c r="J1244" s="65" t="s">
        <v>4038</v>
      </c>
      <c r="K1244" s="68" t="str">
        <f>"00031277"</f>
        <v>00031277</v>
      </c>
    </row>
    <row r="1245" spans="1:11" ht="45" customHeight="1">
      <c r="A1245" s="32">
        <v>105</v>
      </c>
      <c r="B1245" s="45" t="s">
        <v>4036</v>
      </c>
      <c r="C1245" s="65" t="s">
        <v>88</v>
      </c>
      <c r="D1245" s="66"/>
      <c r="E1245" s="59">
        <v>161560</v>
      </c>
      <c r="F1245" s="67">
        <v>3</v>
      </c>
      <c r="G1245" s="72" t="s">
        <v>4043</v>
      </c>
      <c r="H1245" s="32" t="s">
        <v>4039</v>
      </c>
      <c r="I1245" s="65" t="s">
        <v>177</v>
      </c>
      <c r="J1245" s="65" t="s">
        <v>4038</v>
      </c>
      <c r="K1245" s="68" t="str">
        <f>"00031274"</f>
        <v>00031274</v>
      </c>
    </row>
    <row r="1246" spans="1:11" ht="45" customHeight="1">
      <c r="A1246" s="32">
        <v>105</v>
      </c>
      <c r="B1246" s="45" t="s">
        <v>5461</v>
      </c>
      <c r="C1246" s="65" t="s">
        <v>88</v>
      </c>
      <c r="D1246" s="66"/>
      <c r="E1246" s="59">
        <v>17854</v>
      </c>
      <c r="F1246" s="67">
        <v>3</v>
      </c>
      <c r="G1246" s="70" t="s">
        <v>5462</v>
      </c>
      <c r="H1246" s="32" t="s">
        <v>2041</v>
      </c>
      <c r="I1246" s="65" t="s">
        <v>120</v>
      </c>
      <c r="J1246" s="65" t="s">
        <v>120</v>
      </c>
      <c r="K1246" s="81" t="s">
        <v>5463</v>
      </c>
    </row>
    <row r="1247" spans="1:11" ht="45" customHeight="1">
      <c r="A1247" s="32">
        <v>105</v>
      </c>
      <c r="B1247" s="45" t="s">
        <v>5275</v>
      </c>
      <c r="C1247" s="65" t="s">
        <v>88</v>
      </c>
      <c r="D1247" s="66"/>
      <c r="E1247" s="59">
        <v>41513</v>
      </c>
      <c r="F1247" s="67">
        <v>3</v>
      </c>
      <c r="G1247" s="65" t="s">
        <v>5315</v>
      </c>
      <c r="H1247" s="32" t="s">
        <v>4215</v>
      </c>
      <c r="I1247" s="65" t="s">
        <v>100</v>
      </c>
      <c r="J1247" s="65" t="s">
        <v>2260</v>
      </c>
      <c r="K1247" s="68" t="s">
        <v>5313</v>
      </c>
    </row>
    <row r="1248" spans="1:11" ht="45" customHeight="1">
      <c r="A1248" s="32">
        <v>105</v>
      </c>
      <c r="B1248" s="45" t="s">
        <v>5275</v>
      </c>
      <c r="C1248" s="65" t="s">
        <v>88</v>
      </c>
      <c r="D1248" s="66"/>
      <c r="E1248" s="59">
        <v>4269</v>
      </c>
      <c r="F1248" s="67">
        <v>3</v>
      </c>
      <c r="G1248" s="65" t="s">
        <v>5316</v>
      </c>
      <c r="H1248" s="32" t="s">
        <v>2309</v>
      </c>
      <c r="I1248" s="65" t="s">
        <v>107</v>
      </c>
      <c r="J1248" s="65" t="s">
        <v>184</v>
      </c>
      <c r="K1248" s="68" t="s">
        <v>5314</v>
      </c>
    </row>
    <row r="1249" spans="1:11" ht="45" customHeight="1">
      <c r="A1249" s="158" t="s">
        <v>600</v>
      </c>
      <c r="B1249" s="158"/>
      <c r="C1249" s="65"/>
      <c r="D1249" s="66"/>
      <c r="E1249" s="59"/>
      <c r="F1249" s="67"/>
      <c r="G1249" s="65"/>
      <c r="H1249" s="32"/>
      <c r="I1249" s="65"/>
      <c r="J1249" s="65"/>
      <c r="K1249" s="68"/>
    </row>
    <row r="1250" spans="1:11" ht="45" customHeight="1">
      <c r="A1250" s="32">
        <v>105</v>
      </c>
      <c r="B1250" s="45" t="s">
        <v>0</v>
      </c>
      <c r="C1250" s="65" t="s">
        <v>88</v>
      </c>
      <c r="D1250" s="66">
        <v>200000</v>
      </c>
      <c r="E1250" s="59"/>
      <c r="F1250" s="67">
        <v>6</v>
      </c>
      <c r="G1250" s="65" t="s">
        <v>442</v>
      </c>
      <c r="H1250" s="32"/>
      <c r="I1250" s="65" t="s">
        <v>45</v>
      </c>
      <c r="J1250" s="65"/>
      <c r="K1250" s="68" t="str">
        <f>"　"</f>
        <v>　</v>
      </c>
    </row>
    <row r="1251" spans="1:11" ht="45" customHeight="1">
      <c r="A1251" s="32">
        <v>105</v>
      </c>
      <c r="B1251" s="45" t="s">
        <v>682</v>
      </c>
      <c r="C1251" s="65" t="s">
        <v>88</v>
      </c>
      <c r="D1251" s="66"/>
      <c r="E1251" s="59">
        <v>78884</v>
      </c>
      <c r="F1251" s="67">
        <v>6</v>
      </c>
      <c r="G1251" s="72" t="s">
        <v>3761</v>
      </c>
      <c r="H1251" s="32" t="s">
        <v>2044</v>
      </c>
      <c r="I1251" s="65" t="s">
        <v>104</v>
      </c>
      <c r="J1251" s="65" t="s">
        <v>2045</v>
      </c>
      <c r="K1251" s="68" t="str">
        <f>"00030132"</f>
        <v>00030132</v>
      </c>
    </row>
    <row r="1252" spans="1:11" ht="45" customHeight="1">
      <c r="A1252" s="32">
        <v>105</v>
      </c>
      <c r="B1252" s="49" t="s">
        <v>4418</v>
      </c>
      <c r="C1252" s="65" t="s">
        <v>88</v>
      </c>
      <c r="D1252" s="66"/>
      <c r="E1252" s="59">
        <v>26219</v>
      </c>
      <c r="F1252" s="67">
        <v>6</v>
      </c>
      <c r="G1252" s="65" t="s">
        <v>4420</v>
      </c>
      <c r="H1252" s="32" t="s">
        <v>4419</v>
      </c>
      <c r="I1252" s="65" t="s">
        <v>116</v>
      </c>
      <c r="J1252" s="65" t="s">
        <v>117</v>
      </c>
      <c r="K1252" s="68" t="str">
        <f>"00030079"</f>
        <v>00030079</v>
      </c>
    </row>
    <row r="1253" spans="1:11" ht="45" customHeight="1">
      <c r="A1253" s="32">
        <v>105</v>
      </c>
      <c r="B1253" s="45" t="s">
        <v>561</v>
      </c>
      <c r="C1253" s="65" t="s">
        <v>88</v>
      </c>
      <c r="D1253" s="66"/>
      <c r="E1253" s="59">
        <v>80599</v>
      </c>
      <c r="F1253" s="67">
        <v>6</v>
      </c>
      <c r="G1253" s="65" t="s">
        <v>4889</v>
      </c>
      <c r="H1253" s="32" t="s">
        <v>2028</v>
      </c>
      <c r="I1253" s="65" t="s">
        <v>107</v>
      </c>
      <c r="J1253" s="65" t="s">
        <v>2029</v>
      </c>
      <c r="K1253" s="68" t="str">
        <f>"00031923"</f>
        <v>00031923</v>
      </c>
    </row>
    <row r="1254" spans="1:11" ht="45" customHeight="1">
      <c r="A1254" s="32">
        <v>105</v>
      </c>
      <c r="B1254" s="45" t="s">
        <v>5131</v>
      </c>
      <c r="C1254" s="65" t="s">
        <v>88</v>
      </c>
      <c r="D1254" s="66"/>
      <c r="E1254" s="59">
        <v>40311</v>
      </c>
      <c r="F1254" s="67">
        <v>6</v>
      </c>
      <c r="G1254" s="65" t="s">
        <v>5132</v>
      </c>
      <c r="H1254" s="32" t="s">
        <v>5123</v>
      </c>
      <c r="I1254" s="65" t="s">
        <v>107</v>
      </c>
      <c r="J1254" s="72" t="s">
        <v>5124</v>
      </c>
      <c r="K1254" s="68" t="str">
        <f>"00027114"</f>
        <v>00027114</v>
      </c>
    </row>
    <row r="1255" spans="1:11" ht="45" customHeight="1">
      <c r="A1255" s="32">
        <v>105</v>
      </c>
      <c r="B1255" s="45" t="s">
        <v>186</v>
      </c>
      <c r="C1255" s="65" t="s">
        <v>88</v>
      </c>
      <c r="D1255" s="66">
        <v>518000</v>
      </c>
      <c r="E1255" s="59"/>
      <c r="F1255" s="67">
        <v>6</v>
      </c>
      <c r="G1255" s="65" t="s">
        <v>3228</v>
      </c>
      <c r="H1255" s="32"/>
      <c r="I1255" s="65" t="s">
        <v>45</v>
      </c>
      <c r="J1255" s="65"/>
      <c r="K1255" s="68" t="str">
        <f>"　"</f>
        <v>　</v>
      </c>
    </row>
    <row r="1256" spans="1:11" ht="45" customHeight="1">
      <c r="A1256" s="158" t="s">
        <v>66</v>
      </c>
      <c r="B1256" s="158"/>
      <c r="C1256" s="65"/>
      <c r="D1256" s="66"/>
      <c r="E1256" s="59"/>
      <c r="F1256" s="67"/>
      <c r="G1256" s="65"/>
      <c r="H1256" s="32"/>
      <c r="I1256" s="65"/>
      <c r="J1256" s="65"/>
      <c r="K1256" s="68"/>
    </row>
    <row r="1257" spans="1:11" ht="45" customHeight="1">
      <c r="A1257" s="32">
        <v>105</v>
      </c>
      <c r="B1257" s="45" t="s">
        <v>54</v>
      </c>
      <c r="C1257" s="65" t="s">
        <v>88</v>
      </c>
      <c r="D1257" s="66">
        <v>1400000</v>
      </c>
      <c r="E1257" s="59"/>
      <c r="F1257" s="67">
        <v>7</v>
      </c>
      <c r="G1257" s="65" t="s">
        <v>646</v>
      </c>
      <c r="H1257" s="32"/>
      <c r="I1257" s="65" t="s">
        <v>391</v>
      </c>
      <c r="J1257" s="65"/>
      <c r="K1257" s="68" t="str">
        <f>"　"</f>
        <v>　</v>
      </c>
    </row>
    <row r="1258" spans="1:11" ht="45" customHeight="1">
      <c r="A1258" s="32">
        <v>105</v>
      </c>
      <c r="B1258" s="45" t="s">
        <v>3710</v>
      </c>
      <c r="C1258" s="65" t="s">
        <v>88</v>
      </c>
      <c r="D1258" s="66"/>
      <c r="E1258" s="59">
        <v>122528</v>
      </c>
      <c r="F1258" s="67">
        <v>7</v>
      </c>
      <c r="G1258" s="79" t="s">
        <v>3711</v>
      </c>
      <c r="H1258" s="32" t="s">
        <v>1620</v>
      </c>
      <c r="I1258" s="65" t="s">
        <v>107</v>
      </c>
      <c r="J1258" s="65" t="s">
        <v>302</v>
      </c>
      <c r="K1258" s="68" t="str">
        <f>"00029653"</f>
        <v>00029653</v>
      </c>
    </row>
    <row r="1259" spans="1:11" ht="45" customHeight="1">
      <c r="A1259" s="32">
        <v>105</v>
      </c>
      <c r="B1259" s="45" t="s">
        <v>3710</v>
      </c>
      <c r="C1259" s="65" t="s">
        <v>88</v>
      </c>
      <c r="D1259" s="66"/>
      <c r="E1259" s="59">
        <v>254817</v>
      </c>
      <c r="F1259" s="67">
        <v>7</v>
      </c>
      <c r="G1259" s="69" t="s">
        <v>3712</v>
      </c>
      <c r="H1259" s="32" t="s">
        <v>2046</v>
      </c>
      <c r="I1259" s="65" t="s">
        <v>107</v>
      </c>
      <c r="J1259" s="65" t="s">
        <v>2047</v>
      </c>
      <c r="K1259" s="68" t="str">
        <f>"00027044"</f>
        <v>00027044</v>
      </c>
    </row>
    <row r="1260" spans="1:11" ht="45" customHeight="1">
      <c r="A1260" s="32">
        <v>105</v>
      </c>
      <c r="B1260" s="45" t="s">
        <v>55</v>
      </c>
      <c r="C1260" s="65" t="s">
        <v>88</v>
      </c>
      <c r="D1260" s="66"/>
      <c r="E1260" s="59">
        <v>82391</v>
      </c>
      <c r="F1260" s="67">
        <v>7</v>
      </c>
      <c r="G1260" s="65" t="s">
        <v>425</v>
      </c>
      <c r="H1260" s="32" t="s">
        <v>424</v>
      </c>
      <c r="I1260" s="65" t="s">
        <v>107</v>
      </c>
      <c r="J1260" s="65" t="s">
        <v>56</v>
      </c>
      <c r="K1260" s="68" t="s">
        <v>3939</v>
      </c>
    </row>
    <row r="1261" spans="1:11" ht="45" customHeight="1">
      <c r="A1261" s="32">
        <v>105</v>
      </c>
      <c r="B1261" s="45" t="s">
        <v>4366</v>
      </c>
      <c r="C1261" s="65" t="s">
        <v>88</v>
      </c>
      <c r="D1261" s="66"/>
      <c r="E1261" s="59">
        <v>355971</v>
      </c>
      <c r="F1261" s="67">
        <v>7</v>
      </c>
      <c r="G1261" s="65" t="s">
        <v>4367</v>
      </c>
      <c r="H1261" s="32" t="s">
        <v>2048</v>
      </c>
      <c r="I1261" s="65" t="s">
        <v>107</v>
      </c>
      <c r="J1261" s="65" t="s">
        <v>122</v>
      </c>
      <c r="K1261" s="85" t="s">
        <v>4368</v>
      </c>
    </row>
    <row r="1262" spans="1:11" ht="45" customHeight="1">
      <c r="A1262" s="32">
        <v>105</v>
      </c>
      <c r="B1262" s="45" t="s">
        <v>54</v>
      </c>
      <c r="C1262" s="65" t="s">
        <v>88</v>
      </c>
      <c r="D1262" s="66">
        <v>800000</v>
      </c>
      <c r="E1262" s="59"/>
      <c r="F1262" s="67">
        <v>7</v>
      </c>
      <c r="G1262" s="65" t="s">
        <v>590</v>
      </c>
      <c r="H1262" s="32"/>
      <c r="I1262" s="65" t="s">
        <v>57</v>
      </c>
      <c r="J1262" s="65"/>
      <c r="K1262" s="91" t="str">
        <f>"　"</f>
        <v>　</v>
      </c>
    </row>
    <row r="1263" spans="1:11" ht="45" customHeight="1">
      <c r="A1263" s="32">
        <v>105</v>
      </c>
      <c r="B1263" s="95" t="s">
        <v>2049</v>
      </c>
      <c r="C1263" s="65" t="s">
        <v>88</v>
      </c>
      <c r="D1263" s="66"/>
      <c r="E1263" s="59">
        <v>48295</v>
      </c>
      <c r="F1263" s="67">
        <v>7</v>
      </c>
      <c r="G1263" s="74" t="s">
        <v>5080</v>
      </c>
      <c r="H1263" s="32" t="s">
        <v>2050</v>
      </c>
      <c r="I1263" s="65" t="s">
        <v>107</v>
      </c>
      <c r="J1263" s="70" t="s">
        <v>109</v>
      </c>
      <c r="K1263" s="74" t="s">
        <v>6135</v>
      </c>
    </row>
    <row r="1264" spans="1:11" ht="45" customHeight="1">
      <c r="A1264" s="32">
        <v>105</v>
      </c>
      <c r="B1264" s="45" t="s">
        <v>2051</v>
      </c>
      <c r="C1264" s="65" t="s">
        <v>88</v>
      </c>
      <c r="D1264" s="66"/>
      <c r="E1264" s="59">
        <v>34152</v>
      </c>
      <c r="F1264" s="67">
        <v>7</v>
      </c>
      <c r="G1264" s="65" t="s">
        <v>4789</v>
      </c>
      <c r="H1264" s="32" t="s">
        <v>2053</v>
      </c>
      <c r="I1264" s="65" t="s">
        <v>107</v>
      </c>
      <c r="J1264" s="70" t="s">
        <v>109</v>
      </c>
      <c r="K1264" s="65" t="s">
        <v>6136</v>
      </c>
    </row>
    <row r="1265" spans="1:11" ht="45" customHeight="1">
      <c r="A1265" s="32">
        <v>105</v>
      </c>
      <c r="B1265" s="45" t="s">
        <v>2051</v>
      </c>
      <c r="C1265" s="65" t="s">
        <v>88</v>
      </c>
      <c r="D1265" s="66"/>
      <c r="E1265" s="59">
        <v>49619</v>
      </c>
      <c r="F1265" s="67">
        <v>7</v>
      </c>
      <c r="G1265" s="65" t="s">
        <v>4790</v>
      </c>
      <c r="H1265" s="32" t="s">
        <v>2052</v>
      </c>
      <c r="I1265" s="65" t="s">
        <v>107</v>
      </c>
      <c r="J1265" s="65" t="s">
        <v>230</v>
      </c>
      <c r="K1265" s="65" t="s">
        <v>6137</v>
      </c>
    </row>
    <row r="1266" spans="1:11" ht="45" customHeight="1">
      <c r="A1266" s="32">
        <v>105</v>
      </c>
      <c r="B1266" s="45" t="s">
        <v>0</v>
      </c>
      <c r="C1266" s="65" t="s">
        <v>88</v>
      </c>
      <c r="D1266" s="66">
        <v>30090000</v>
      </c>
      <c r="E1266" s="59"/>
      <c r="F1266" s="67">
        <v>7</v>
      </c>
      <c r="G1266" s="70" t="s">
        <v>5494</v>
      </c>
      <c r="H1266" s="32"/>
      <c r="I1266" s="65" t="s">
        <v>45</v>
      </c>
      <c r="J1266" s="70"/>
      <c r="K1266" s="68" t="str">
        <f>"　"</f>
        <v>　</v>
      </c>
    </row>
    <row r="1267" spans="1:11" ht="45" customHeight="1">
      <c r="A1267" s="30"/>
      <c r="B1267" s="56" t="s">
        <v>2</v>
      </c>
      <c r="C1267" s="45"/>
      <c r="D1267" s="46"/>
      <c r="E1267" s="45"/>
      <c r="F1267" s="30"/>
      <c r="G1267" s="45"/>
      <c r="H1267" s="45"/>
      <c r="I1267" s="45"/>
      <c r="J1267" s="45"/>
      <c r="K1267" s="93"/>
    </row>
    <row r="1268" spans="1:11" ht="45" customHeight="1">
      <c r="A1268" s="30">
        <v>105</v>
      </c>
      <c r="B1268" s="45" t="s">
        <v>2061</v>
      </c>
      <c r="C1268" s="45" t="s">
        <v>38</v>
      </c>
      <c r="D1268" s="46"/>
      <c r="E1268" s="47">
        <v>13468</v>
      </c>
      <c r="F1268" s="48">
        <v>7</v>
      </c>
      <c r="G1268" s="45" t="s">
        <v>2054</v>
      </c>
      <c r="H1268" s="30" t="s">
        <v>2062</v>
      </c>
      <c r="I1268" s="45" t="s">
        <v>92</v>
      </c>
      <c r="J1268" s="45" t="s">
        <v>426</v>
      </c>
      <c r="K1268" s="50" t="str">
        <f>"00026882"</f>
        <v>00026882</v>
      </c>
    </row>
    <row r="1269" spans="1:11" ht="45" customHeight="1">
      <c r="A1269" s="30">
        <v>105</v>
      </c>
      <c r="B1269" s="45" t="s">
        <v>114</v>
      </c>
      <c r="C1269" s="45" t="s">
        <v>38</v>
      </c>
      <c r="D1269" s="46"/>
      <c r="E1269" s="47">
        <v>358</v>
      </c>
      <c r="F1269" s="48">
        <v>7</v>
      </c>
      <c r="G1269" s="45" t="s">
        <v>2054</v>
      </c>
      <c r="H1269" s="30" t="s">
        <v>2055</v>
      </c>
      <c r="I1269" s="45" t="s">
        <v>92</v>
      </c>
      <c r="J1269" s="45" t="s">
        <v>426</v>
      </c>
      <c r="K1269" s="50" t="str">
        <f>"00025989"</f>
        <v>00025989</v>
      </c>
    </row>
    <row r="1270" spans="1:11" ht="45" customHeight="1">
      <c r="A1270" s="30">
        <v>105</v>
      </c>
      <c r="B1270" s="45" t="s">
        <v>95</v>
      </c>
      <c r="C1270" s="45" t="s">
        <v>38</v>
      </c>
      <c r="D1270" s="46"/>
      <c r="E1270" s="47">
        <v>50636</v>
      </c>
      <c r="F1270" s="48">
        <v>7</v>
      </c>
      <c r="G1270" s="45" t="s">
        <v>2056</v>
      </c>
      <c r="H1270" s="30" t="s">
        <v>2057</v>
      </c>
      <c r="I1270" s="45" t="s">
        <v>107</v>
      </c>
      <c r="J1270" s="45" t="s">
        <v>2058</v>
      </c>
      <c r="K1270" s="50" t="str">
        <f>"00027589"</f>
        <v>00027589</v>
      </c>
    </row>
    <row r="1271" spans="1:11" ht="45" customHeight="1">
      <c r="A1271" s="30">
        <v>105</v>
      </c>
      <c r="B1271" s="45" t="s">
        <v>112</v>
      </c>
      <c r="C1271" s="45" t="s">
        <v>38</v>
      </c>
      <c r="D1271" s="46"/>
      <c r="E1271" s="47">
        <v>66892</v>
      </c>
      <c r="F1271" s="48">
        <v>7</v>
      </c>
      <c r="G1271" s="45" t="s">
        <v>2063</v>
      </c>
      <c r="H1271" s="30" t="s">
        <v>2064</v>
      </c>
      <c r="I1271" s="45" t="s">
        <v>107</v>
      </c>
      <c r="J1271" s="45" t="s">
        <v>1629</v>
      </c>
      <c r="K1271" s="50" t="str">
        <f>"00027586"</f>
        <v>00027586</v>
      </c>
    </row>
    <row r="1272" spans="1:11" ht="45" customHeight="1">
      <c r="A1272" s="30">
        <v>105</v>
      </c>
      <c r="B1272" s="76" t="s">
        <v>2073</v>
      </c>
      <c r="C1272" s="45" t="s">
        <v>38</v>
      </c>
      <c r="D1272" s="46"/>
      <c r="E1272" s="47">
        <v>220000</v>
      </c>
      <c r="F1272" s="48">
        <v>7</v>
      </c>
      <c r="G1272" s="45" t="s">
        <v>2074</v>
      </c>
      <c r="H1272" s="30" t="s">
        <v>2075</v>
      </c>
      <c r="I1272" s="45" t="s">
        <v>111</v>
      </c>
      <c r="J1272" s="45" t="s">
        <v>2076</v>
      </c>
      <c r="K1272" s="50" t="str">
        <f>"00029482"</f>
        <v>00029482</v>
      </c>
    </row>
    <row r="1273" spans="1:11" ht="45" customHeight="1">
      <c r="A1273" s="30">
        <v>105</v>
      </c>
      <c r="B1273" s="45" t="s">
        <v>830</v>
      </c>
      <c r="C1273" s="45" t="s">
        <v>38</v>
      </c>
      <c r="D1273" s="46"/>
      <c r="E1273" s="47">
        <v>65765</v>
      </c>
      <c r="F1273" s="48">
        <v>7</v>
      </c>
      <c r="G1273" s="45" t="s">
        <v>2059</v>
      </c>
      <c r="H1273" s="30" t="s">
        <v>2060</v>
      </c>
      <c r="I1273" s="45" t="s">
        <v>92</v>
      </c>
      <c r="J1273" s="45" t="s">
        <v>110</v>
      </c>
      <c r="K1273" s="50" t="str">
        <f>"00031762"</f>
        <v>00031762</v>
      </c>
    </row>
    <row r="1274" spans="1:11" ht="45" customHeight="1">
      <c r="A1274" s="30">
        <v>105</v>
      </c>
      <c r="B1274" s="45" t="s">
        <v>112</v>
      </c>
      <c r="C1274" s="45" t="s">
        <v>38</v>
      </c>
      <c r="D1274" s="46"/>
      <c r="E1274" s="47">
        <v>57970</v>
      </c>
      <c r="F1274" s="48">
        <v>7</v>
      </c>
      <c r="G1274" s="45" t="s">
        <v>2070</v>
      </c>
      <c r="H1274" s="30" t="s">
        <v>2071</v>
      </c>
      <c r="I1274" s="45" t="s">
        <v>102</v>
      </c>
      <c r="J1274" s="45" t="s">
        <v>2072</v>
      </c>
      <c r="K1274" s="50" t="str">
        <f>"00028305"</f>
        <v>00028305</v>
      </c>
    </row>
    <row r="1275" spans="1:11" ht="45" customHeight="1">
      <c r="A1275" s="30">
        <v>105</v>
      </c>
      <c r="B1275" s="45" t="s">
        <v>841</v>
      </c>
      <c r="C1275" s="45" t="s">
        <v>38</v>
      </c>
      <c r="D1275" s="46"/>
      <c r="E1275" s="47">
        <v>84381</v>
      </c>
      <c r="F1275" s="48">
        <v>7</v>
      </c>
      <c r="G1275" s="45" t="s">
        <v>2067</v>
      </c>
      <c r="H1275" s="30" t="s">
        <v>2068</v>
      </c>
      <c r="I1275" s="45" t="s">
        <v>92</v>
      </c>
      <c r="J1275" s="45" t="s">
        <v>2069</v>
      </c>
      <c r="K1275" s="50" t="str">
        <f>"00031226"</f>
        <v>00031226</v>
      </c>
    </row>
    <row r="1276" spans="1:11" ht="45" customHeight="1">
      <c r="A1276" s="30">
        <v>105</v>
      </c>
      <c r="B1276" s="45" t="s">
        <v>841</v>
      </c>
      <c r="C1276" s="45" t="s">
        <v>38</v>
      </c>
      <c r="D1276" s="46"/>
      <c r="E1276" s="47">
        <v>6922</v>
      </c>
      <c r="F1276" s="48">
        <v>7</v>
      </c>
      <c r="G1276" s="45" t="s">
        <v>2065</v>
      </c>
      <c r="H1276" s="30" t="s">
        <v>2066</v>
      </c>
      <c r="I1276" s="45" t="s">
        <v>92</v>
      </c>
      <c r="J1276" s="45" t="s">
        <v>283</v>
      </c>
      <c r="K1276" s="50" t="str">
        <f>"00030513"</f>
        <v>00030513</v>
      </c>
    </row>
    <row r="1277" spans="1:11" ht="45" customHeight="1">
      <c r="A1277" s="30">
        <v>105</v>
      </c>
      <c r="B1277" s="45" t="s">
        <v>4060</v>
      </c>
      <c r="C1277" s="45" t="s">
        <v>38</v>
      </c>
      <c r="D1277" s="46"/>
      <c r="E1277" s="47">
        <v>2100</v>
      </c>
      <c r="F1277" s="48">
        <v>7</v>
      </c>
      <c r="G1277" s="45" t="s">
        <v>2070</v>
      </c>
      <c r="H1277" s="30" t="s">
        <v>2071</v>
      </c>
      <c r="I1277" s="45" t="s">
        <v>102</v>
      </c>
      <c r="J1277" s="45" t="s">
        <v>2072</v>
      </c>
      <c r="K1277" s="50" t="str">
        <f>"00028305"</f>
        <v>00028305</v>
      </c>
    </row>
    <row r="1278" spans="1:11" ht="45" customHeight="1">
      <c r="A1278" s="30">
        <v>105</v>
      </c>
      <c r="B1278" s="45" t="s">
        <v>4061</v>
      </c>
      <c r="C1278" s="45" t="s">
        <v>38</v>
      </c>
      <c r="D1278" s="46"/>
      <c r="E1278" s="47">
        <v>37487</v>
      </c>
      <c r="F1278" s="48">
        <v>7</v>
      </c>
      <c r="G1278" s="49" t="s">
        <v>4054</v>
      </c>
      <c r="H1278" s="30" t="s">
        <v>4055</v>
      </c>
      <c r="I1278" s="45" t="s">
        <v>111</v>
      </c>
      <c r="J1278" s="45" t="s">
        <v>115</v>
      </c>
      <c r="K1278" s="50" t="str">
        <f>"00028201"</f>
        <v>00028201</v>
      </c>
    </row>
    <row r="1279" spans="1:11" ht="45" customHeight="1">
      <c r="A1279" s="30"/>
      <c r="B1279" s="58" t="s">
        <v>105</v>
      </c>
      <c r="C1279" s="45"/>
      <c r="D1279" s="46"/>
      <c r="E1279" s="47">
        <f>SUM(E1268:E1278)</f>
        <v>605979</v>
      </c>
      <c r="F1279" s="48"/>
      <c r="G1279" s="45"/>
      <c r="H1279" s="30"/>
      <c r="I1279" s="45"/>
      <c r="J1279" s="45"/>
      <c r="K1279" s="50"/>
    </row>
    <row r="1280" spans="1:11" ht="45" customHeight="1">
      <c r="A1280" s="30"/>
      <c r="B1280" s="60" t="s">
        <v>243</v>
      </c>
      <c r="C1280" s="45"/>
      <c r="D1280" s="46"/>
      <c r="E1280" s="47"/>
      <c r="F1280" s="48"/>
      <c r="G1280" s="45"/>
      <c r="H1280" s="30"/>
      <c r="I1280" s="45"/>
      <c r="J1280" s="45"/>
      <c r="K1280" s="93"/>
    </row>
    <row r="1281" spans="1:11" ht="45" customHeight="1">
      <c r="A1281" s="30">
        <v>105</v>
      </c>
      <c r="B1281" s="45" t="s">
        <v>245</v>
      </c>
      <c r="C1281" s="45" t="s">
        <v>38</v>
      </c>
      <c r="D1281" s="46"/>
      <c r="E1281" s="47">
        <v>280821</v>
      </c>
      <c r="F1281" s="48">
        <v>7</v>
      </c>
      <c r="G1281" s="45" t="s">
        <v>2141</v>
      </c>
      <c r="H1281" s="30" t="s">
        <v>2142</v>
      </c>
      <c r="I1281" s="45" t="s">
        <v>222</v>
      </c>
      <c r="J1281" s="45" t="s">
        <v>223</v>
      </c>
      <c r="K1281" s="61" t="s">
        <v>6008</v>
      </c>
    </row>
    <row r="1282" spans="1:11" ht="45" customHeight="1">
      <c r="A1282" s="30">
        <v>105</v>
      </c>
      <c r="B1282" s="45" t="s">
        <v>2085</v>
      </c>
      <c r="C1282" s="45" t="s">
        <v>38</v>
      </c>
      <c r="D1282" s="46"/>
      <c r="E1282" s="47">
        <v>118983</v>
      </c>
      <c r="F1282" s="48">
        <v>7</v>
      </c>
      <c r="G1282" s="45" t="s">
        <v>2131</v>
      </c>
      <c r="H1282" s="30" t="s">
        <v>2132</v>
      </c>
      <c r="I1282" s="45" t="s">
        <v>107</v>
      </c>
      <c r="J1282" s="45" t="s">
        <v>2088</v>
      </c>
      <c r="K1282" s="61" t="s">
        <v>6009</v>
      </c>
    </row>
    <row r="1283" spans="1:11" ht="45" customHeight="1">
      <c r="A1283" s="30">
        <v>105</v>
      </c>
      <c r="B1283" s="45" t="s">
        <v>970</v>
      </c>
      <c r="C1283" s="45" t="s">
        <v>38</v>
      </c>
      <c r="D1283" s="46"/>
      <c r="E1283" s="47">
        <v>100695</v>
      </c>
      <c r="F1283" s="48">
        <v>7</v>
      </c>
      <c r="G1283" s="45" t="s">
        <v>271</v>
      </c>
      <c r="H1283" s="30" t="s">
        <v>2128</v>
      </c>
      <c r="I1283" s="45" t="s">
        <v>222</v>
      </c>
      <c r="J1283" s="45" t="s">
        <v>223</v>
      </c>
      <c r="K1283" s="61" t="s">
        <v>6010</v>
      </c>
    </row>
    <row r="1284" spans="1:11" ht="45" customHeight="1">
      <c r="A1284" s="30">
        <v>105</v>
      </c>
      <c r="B1284" s="45" t="s">
        <v>865</v>
      </c>
      <c r="C1284" s="45" t="s">
        <v>38</v>
      </c>
      <c r="D1284" s="46"/>
      <c r="E1284" s="47">
        <v>68259</v>
      </c>
      <c r="F1284" s="48">
        <v>7</v>
      </c>
      <c r="G1284" s="52" t="s">
        <v>2129</v>
      </c>
      <c r="H1284" s="30" t="s">
        <v>2130</v>
      </c>
      <c r="I1284" s="45" t="s">
        <v>120</v>
      </c>
      <c r="J1284" s="45" t="s">
        <v>120</v>
      </c>
      <c r="K1284" s="61" t="s">
        <v>6011</v>
      </c>
    </row>
    <row r="1285" spans="1:11" ht="45" customHeight="1">
      <c r="A1285" s="30">
        <v>105</v>
      </c>
      <c r="B1285" s="45" t="s">
        <v>854</v>
      </c>
      <c r="C1285" s="45" t="s">
        <v>38</v>
      </c>
      <c r="D1285" s="46"/>
      <c r="E1285" s="47">
        <v>36594</v>
      </c>
      <c r="F1285" s="48">
        <v>7</v>
      </c>
      <c r="G1285" s="45" t="s">
        <v>596</v>
      </c>
      <c r="H1285" s="30" t="s">
        <v>2126</v>
      </c>
      <c r="I1285" s="45" t="s">
        <v>92</v>
      </c>
      <c r="J1285" s="45" t="s">
        <v>47</v>
      </c>
      <c r="K1285" s="61" t="s">
        <v>6012</v>
      </c>
    </row>
    <row r="1286" spans="1:11" ht="45" customHeight="1">
      <c r="A1286" s="30">
        <v>105</v>
      </c>
      <c r="B1286" s="45" t="s">
        <v>854</v>
      </c>
      <c r="C1286" s="45" t="s">
        <v>38</v>
      </c>
      <c r="D1286" s="46"/>
      <c r="E1286" s="47">
        <v>34378</v>
      </c>
      <c r="F1286" s="48">
        <v>7</v>
      </c>
      <c r="G1286" s="45" t="s">
        <v>258</v>
      </c>
      <c r="H1286" s="30" t="s">
        <v>2127</v>
      </c>
      <c r="I1286" s="45" t="s">
        <v>100</v>
      </c>
      <c r="J1286" s="45" t="s">
        <v>39</v>
      </c>
      <c r="K1286" s="61" t="s">
        <v>6013</v>
      </c>
    </row>
    <row r="1287" spans="1:11" ht="45" customHeight="1">
      <c r="A1287" s="30">
        <v>105</v>
      </c>
      <c r="B1287" s="45" t="s">
        <v>245</v>
      </c>
      <c r="C1287" s="45" t="s">
        <v>38</v>
      </c>
      <c r="D1287" s="46"/>
      <c r="E1287" s="47">
        <v>173394</v>
      </c>
      <c r="F1287" s="48">
        <v>7</v>
      </c>
      <c r="G1287" s="49" t="s">
        <v>2133</v>
      </c>
      <c r="H1287" s="30" t="s">
        <v>1927</v>
      </c>
      <c r="I1287" s="45" t="s">
        <v>2134</v>
      </c>
      <c r="J1287" s="45" t="s">
        <v>2135</v>
      </c>
      <c r="K1287" s="61" t="s">
        <v>6014</v>
      </c>
    </row>
    <row r="1288" spans="1:11" ht="45" customHeight="1">
      <c r="A1288" s="30">
        <v>105</v>
      </c>
      <c r="B1288" s="45" t="s">
        <v>854</v>
      </c>
      <c r="C1288" s="45" t="s">
        <v>38</v>
      </c>
      <c r="D1288" s="46"/>
      <c r="E1288" s="47">
        <v>34378</v>
      </c>
      <c r="F1288" s="48">
        <v>7</v>
      </c>
      <c r="G1288" s="45" t="s">
        <v>258</v>
      </c>
      <c r="H1288" s="30" t="s">
        <v>2127</v>
      </c>
      <c r="I1288" s="45" t="s">
        <v>100</v>
      </c>
      <c r="J1288" s="45" t="s">
        <v>39</v>
      </c>
      <c r="K1288" s="61" t="s">
        <v>6015</v>
      </c>
    </row>
    <row r="1289" spans="1:11" ht="45" customHeight="1">
      <c r="A1289" s="30">
        <v>105</v>
      </c>
      <c r="B1289" s="45" t="s">
        <v>983</v>
      </c>
      <c r="C1289" s="45" t="s">
        <v>38</v>
      </c>
      <c r="D1289" s="46"/>
      <c r="E1289" s="47">
        <v>37327</v>
      </c>
      <c r="F1289" s="48">
        <v>7</v>
      </c>
      <c r="G1289" s="45" t="s">
        <v>258</v>
      </c>
      <c r="H1289" s="30" t="s">
        <v>1808</v>
      </c>
      <c r="I1289" s="45" t="s">
        <v>100</v>
      </c>
      <c r="J1289" s="45" t="s">
        <v>39</v>
      </c>
      <c r="K1289" s="61" t="s">
        <v>6016</v>
      </c>
    </row>
    <row r="1290" spans="1:11" ht="45" customHeight="1">
      <c r="A1290" s="30">
        <v>105</v>
      </c>
      <c r="B1290" s="45" t="s">
        <v>854</v>
      </c>
      <c r="C1290" s="45" t="s">
        <v>38</v>
      </c>
      <c r="D1290" s="46"/>
      <c r="E1290" s="47">
        <v>34378</v>
      </c>
      <c r="F1290" s="48">
        <v>7</v>
      </c>
      <c r="G1290" s="45" t="s">
        <v>258</v>
      </c>
      <c r="H1290" s="30" t="s">
        <v>2127</v>
      </c>
      <c r="I1290" s="45" t="s">
        <v>100</v>
      </c>
      <c r="J1290" s="45" t="s">
        <v>39</v>
      </c>
      <c r="K1290" s="61" t="s">
        <v>6017</v>
      </c>
    </row>
    <row r="1291" spans="1:11" ht="45" customHeight="1">
      <c r="A1291" s="30">
        <v>105</v>
      </c>
      <c r="B1291" s="45" t="s">
        <v>2085</v>
      </c>
      <c r="C1291" s="45" t="s">
        <v>38</v>
      </c>
      <c r="D1291" s="46"/>
      <c r="E1291" s="47">
        <v>52874</v>
      </c>
      <c r="F1291" s="48">
        <v>7</v>
      </c>
      <c r="G1291" s="45" t="s">
        <v>2143</v>
      </c>
      <c r="H1291" s="30" t="s">
        <v>2144</v>
      </c>
      <c r="I1291" s="45" t="s">
        <v>102</v>
      </c>
      <c r="J1291" s="45" t="s">
        <v>2145</v>
      </c>
      <c r="K1291" s="61" t="s">
        <v>6018</v>
      </c>
    </row>
    <row r="1292" spans="1:11" ht="45" customHeight="1">
      <c r="A1292" s="30">
        <v>105</v>
      </c>
      <c r="B1292" s="45" t="s">
        <v>983</v>
      </c>
      <c r="C1292" s="45" t="s">
        <v>38</v>
      </c>
      <c r="D1292" s="46"/>
      <c r="E1292" s="47">
        <v>34378</v>
      </c>
      <c r="F1292" s="48">
        <v>7</v>
      </c>
      <c r="G1292" s="45" t="s">
        <v>258</v>
      </c>
      <c r="H1292" s="30" t="s">
        <v>2127</v>
      </c>
      <c r="I1292" s="45" t="s">
        <v>100</v>
      </c>
      <c r="J1292" s="45" t="s">
        <v>39</v>
      </c>
      <c r="K1292" s="61" t="s">
        <v>6019</v>
      </c>
    </row>
    <row r="1293" spans="1:11" ht="45" customHeight="1">
      <c r="A1293" s="30">
        <v>105</v>
      </c>
      <c r="B1293" s="45" t="s">
        <v>983</v>
      </c>
      <c r="C1293" s="45" t="s">
        <v>38</v>
      </c>
      <c r="D1293" s="46"/>
      <c r="E1293" s="47">
        <v>50267</v>
      </c>
      <c r="F1293" s="48">
        <v>7</v>
      </c>
      <c r="G1293" s="45" t="s">
        <v>2149</v>
      </c>
      <c r="H1293" s="30" t="s">
        <v>985</v>
      </c>
      <c r="I1293" s="45" t="s">
        <v>116</v>
      </c>
      <c r="J1293" s="45" t="s">
        <v>986</v>
      </c>
      <c r="K1293" s="61" t="s">
        <v>5945</v>
      </c>
    </row>
    <row r="1294" spans="1:11" ht="45" customHeight="1">
      <c r="A1294" s="30">
        <v>105</v>
      </c>
      <c r="B1294" s="45" t="s">
        <v>865</v>
      </c>
      <c r="C1294" s="45" t="s">
        <v>38</v>
      </c>
      <c r="D1294" s="46"/>
      <c r="E1294" s="47">
        <v>99580</v>
      </c>
      <c r="F1294" s="48">
        <v>7</v>
      </c>
      <c r="G1294" s="49" t="s">
        <v>2146</v>
      </c>
      <c r="H1294" s="30" t="s">
        <v>2147</v>
      </c>
      <c r="I1294" s="45" t="s">
        <v>2014</v>
      </c>
      <c r="J1294" s="45" t="s">
        <v>2148</v>
      </c>
      <c r="K1294" s="61" t="s">
        <v>6020</v>
      </c>
    </row>
    <row r="1295" spans="1:11" ht="45" customHeight="1">
      <c r="A1295" s="30">
        <v>105</v>
      </c>
      <c r="B1295" s="45" t="s">
        <v>854</v>
      </c>
      <c r="C1295" s="45" t="s">
        <v>38</v>
      </c>
      <c r="D1295" s="46"/>
      <c r="E1295" s="47">
        <v>37327</v>
      </c>
      <c r="F1295" s="48">
        <v>7</v>
      </c>
      <c r="G1295" s="45" t="s">
        <v>258</v>
      </c>
      <c r="H1295" s="30" t="s">
        <v>2112</v>
      </c>
      <c r="I1295" s="45" t="s">
        <v>100</v>
      </c>
      <c r="J1295" s="45" t="s">
        <v>39</v>
      </c>
      <c r="K1295" s="61" t="s">
        <v>6021</v>
      </c>
    </row>
    <row r="1296" spans="1:11" ht="45" customHeight="1">
      <c r="A1296" s="30">
        <v>105</v>
      </c>
      <c r="B1296" s="45" t="s">
        <v>2150</v>
      </c>
      <c r="C1296" s="45" t="s">
        <v>38</v>
      </c>
      <c r="D1296" s="46"/>
      <c r="E1296" s="47">
        <v>131333</v>
      </c>
      <c r="F1296" s="48">
        <v>7</v>
      </c>
      <c r="G1296" s="45" t="s">
        <v>2151</v>
      </c>
      <c r="H1296" s="30" t="s">
        <v>2152</v>
      </c>
      <c r="I1296" s="45" t="s">
        <v>222</v>
      </c>
      <c r="J1296" s="45" t="s">
        <v>223</v>
      </c>
      <c r="K1296" s="61" t="s">
        <v>6022</v>
      </c>
    </row>
    <row r="1297" spans="1:11" ht="45" customHeight="1">
      <c r="A1297" s="30">
        <v>105</v>
      </c>
      <c r="B1297" s="45" t="s">
        <v>970</v>
      </c>
      <c r="C1297" s="45" t="s">
        <v>38</v>
      </c>
      <c r="D1297" s="46"/>
      <c r="E1297" s="47">
        <v>86138</v>
      </c>
      <c r="F1297" s="48">
        <v>7</v>
      </c>
      <c r="G1297" s="45" t="s">
        <v>2122</v>
      </c>
      <c r="H1297" s="30" t="s">
        <v>2123</v>
      </c>
      <c r="I1297" s="45" t="s">
        <v>222</v>
      </c>
      <c r="J1297" s="45" t="s">
        <v>223</v>
      </c>
      <c r="K1297" s="61" t="s">
        <v>6023</v>
      </c>
    </row>
    <row r="1298" spans="1:11" ht="45" customHeight="1">
      <c r="A1298" s="30">
        <v>105</v>
      </c>
      <c r="B1298" s="45" t="s">
        <v>865</v>
      </c>
      <c r="C1298" s="45" t="s">
        <v>38</v>
      </c>
      <c r="D1298" s="46"/>
      <c r="E1298" s="47">
        <v>87343</v>
      </c>
      <c r="F1298" s="48">
        <v>7</v>
      </c>
      <c r="G1298" s="49" t="s">
        <v>5586</v>
      </c>
      <c r="H1298" s="30" t="s">
        <v>1889</v>
      </c>
      <c r="I1298" s="45" t="s">
        <v>120</v>
      </c>
      <c r="J1298" s="45" t="s">
        <v>120</v>
      </c>
      <c r="K1298" s="61" t="s">
        <v>6024</v>
      </c>
    </row>
    <row r="1299" spans="1:11" ht="45" customHeight="1">
      <c r="A1299" s="30">
        <v>105</v>
      </c>
      <c r="B1299" s="45" t="s">
        <v>238</v>
      </c>
      <c r="C1299" s="45" t="s">
        <v>38</v>
      </c>
      <c r="D1299" s="46"/>
      <c r="E1299" s="47">
        <v>100756</v>
      </c>
      <c r="F1299" s="48">
        <v>7</v>
      </c>
      <c r="G1299" s="45" t="s">
        <v>2120</v>
      </c>
      <c r="H1299" s="30" t="s">
        <v>2121</v>
      </c>
      <c r="I1299" s="45" t="s">
        <v>264</v>
      </c>
      <c r="J1299" s="45" t="s">
        <v>265</v>
      </c>
      <c r="K1299" s="61" t="s">
        <v>6025</v>
      </c>
    </row>
    <row r="1300" spans="1:11" ht="45" customHeight="1">
      <c r="A1300" s="30">
        <v>105</v>
      </c>
      <c r="B1300" s="49" t="s">
        <v>924</v>
      </c>
      <c r="C1300" s="45" t="s">
        <v>38</v>
      </c>
      <c r="D1300" s="46"/>
      <c r="E1300" s="47">
        <v>129387</v>
      </c>
      <c r="F1300" s="48">
        <v>7</v>
      </c>
      <c r="G1300" s="45" t="s">
        <v>2120</v>
      </c>
      <c r="H1300" s="30" t="s">
        <v>2121</v>
      </c>
      <c r="I1300" s="45" t="s">
        <v>264</v>
      </c>
      <c r="J1300" s="45" t="s">
        <v>265</v>
      </c>
      <c r="K1300" s="61" t="s">
        <v>6026</v>
      </c>
    </row>
    <row r="1301" spans="1:11" ht="45" customHeight="1">
      <c r="A1301" s="30">
        <v>105</v>
      </c>
      <c r="B1301" s="45" t="s">
        <v>219</v>
      </c>
      <c r="C1301" s="45" t="s">
        <v>38</v>
      </c>
      <c r="D1301" s="46"/>
      <c r="E1301" s="47">
        <v>40000</v>
      </c>
      <c r="F1301" s="48">
        <v>7</v>
      </c>
      <c r="G1301" s="45" t="s">
        <v>2166</v>
      </c>
      <c r="H1301" s="30" t="s">
        <v>1801</v>
      </c>
      <c r="I1301" s="45" t="s">
        <v>92</v>
      </c>
      <c r="J1301" s="45" t="s">
        <v>2167</v>
      </c>
      <c r="K1301" s="50" t="str">
        <f>"00027184"</f>
        <v>00027184</v>
      </c>
    </row>
    <row r="1302" spans="1:11" ht="45" customHeight="1">
      <c r="A1302" s="30">
        <v>105</v>
      </c>
      <c r="B1302" s="49" t="s">
        <v>248</v>
      </c>
      <c r="C1302" s="45" t="s">
        <v>38</v>
      </c>
      <c r="D1302" s="46"/>
      <c r="E1302" s="47">
        <v>50154</v>
      </c>
      <c r="F1302" s="48">
        <v>7</v>
      </c>
      <c r="G1302" s="45" t="s">
        <v>5587</v>
      </c>
      <c r="H1302" s="30" t="s">
        <v>2165</v>
      </c>
      <c r="I1302" s="45" t="s">
        <v>111</v>
      </c>
      <c r="J1302" s="45" t="s">
        <v>350</v>
      </c>
      <c r="K1302" s="61" t="s">
        <v>6027</v>
      </c>
    </row>
    <row r="1303" spans="1:11" ht="45" customHeight="1">
      <c r="A1303" s="30">
        <v>105</v>
      </c>
      <c r="B1303" s="49" t="s">
        <v>924</v>
      </c>
      <c r="C1303" s="45" t="s">
        <v>38</v>
      </c>
      <c r="D1303" s="46"/>
      <c r="E1303" s="47">
        <v>61618</v>
      </c>
      <c r="F1303" s="48">
        <v>7</v>
      </c>
      <c r="G1303" s="45" t="s">
        <v>2124</v>
      </c>
      <c r="H1303" s="30" t="s">
        <v>2125</v>
      </c>
      <c r="I1303" s="45" t="s">
        <v>92</v>
      </c>
      <c r="J1303" s="45" t="s">
        <v>110</v>
      </c>
      <c r="K1303" s="50" t="str">
        <f>"00027187"</f>
        <v>00027187</v>
      </c>
    </row>
    <row r="1304" spans="1:11" ht="45" customHeight="1">
      <c r="A1304" s="30">
        <v>105</v>
      </c>
      <c r="B1304" s="45" t="s">
        <v>254</v>
      </c>
      <c r="C1304" s="45" t="s">
        <v>38</v>
      </c>
      <c r="D1304" s="46"/>
      <c r="E1304" s="47">
        <v>651118</v>
      </c>
      <c r="F1304" s="48">
        <v>7</v>
      </c>
      <c r="G1304" s="45" t="s">
        <v>2155</v>
      </c>
      <c r="H1304" s="30" t="s">
        <v>2156</v>
      </c>
      <c r="I1304" s="45" t="s">
        <v>222</v>
      </c>
      <c r="J1304" s="45" t="s">
        <v>223</v>
      </c>
      <c r="K1304" s="61" t="s">
        <v>6028</v>
      </c>
    </row>
    <row r="1305" spans="1:11" ht="45" customHeight="1">
      <c r="A1305" s="30">
        <v>105</v>
      </c>
      <c r="B1305" s="45" t="s">
        <v>244</v>
      </c>
      <c r="C1305" s="45" t="s">
        <v>38</v>
      </c>
      <c r="D1305" s="46"/>
      <c r="E1305" s="47">
        <v>91300</v>
      </c>
      <c r="F1305" s="48">
        <v>7</v>
      </c>
      <c r="G1305" s="45" t="s">
        <v>597</v>
      </c>
      <c r="H1305" s="30" t="s">
        <v>2169</v>
      </c>
      <c r="I1305" s="45" t="s">
        <v>107</v>
      </c>
      <c r="J1305" s="45" t="s">
        <v>184</v>
      </c>
      <c r="K1305" s="62" t="s">
        <v>6031</v>
      </c>
    </row>
    <row r="1306" spans="1:11" ht="45" customHeight="1">
      <c r="A1306" s="30">
        <v>105</v>
      </c>
      <c r="B1306" s="45" t="s">
        <v>2157</v>
      </c>
      <c r="C1306" s="45" t="s">
        <v>38</v>
      </c>
      <c r="D1306" s="46"/>
      <c r="E1306" s="47">
        <v>68932</v>
      </c>
      <c r="F1306" s="48">
        <v>7</v>
      </c>
      <c r="G1306" s="45" t="s">
        <v>2160</v>
      </c>
      <c r="H1306" s="30" t="s">
        <v>2161</v>
      </c>
      <c r="I1306" s="45" t="s">
        <v>92</v>
      </c>
      <c r="J1306" s="45" t="s">
        <v>110</v>
      </c>
      <c r="K1306" s="61" t="s">
        <v>6029</v>
      </c>
    </row>
    <row r="1307" spans="1:11" ht="45" customHeight="1">
      <c r="A1307" s="30">
        <v>105</v>
      </c>
      <c r="B1307" s="45" t="s">
        <v>2157</v>
      </c>
      <c r="C1307" s="45" t="s">
        <v>38</v>
      </c>
      <c r="D1307" s="46"/>
      <c r="E1307" s="47">
        <v>68932</v>
      </c>
      <c r="F1307" s="48">
        <v>7</v>
      </c>
      <c r="G1307" s="53" t="s">
        <v>2163</v>
      </c>
      <c r="H1307" s="30" t="s">
        <v>2164</v>
      </c>
      <c r="I1307" s="45" t="s">
        <v>92</v>
      </c>
      <c r="J1307" s="45" t="s">
        <v>110</v>
      </c>
      <c r="K1307" s="61" t="s">
        <v>6030</v>
      </c>
    </row>
    <row r="1308" spans="1:11" ht="45" customHeight="1">
      <c r="A1308" s="30">
        <v>105</v>
      </c>
      <c r="B1308" s="45" t="s">
        <v>2157</v>
      </c>
      <c r="C1308" s="45" t="s">
        <v>38</v>
      </c>
      <c r="D1308" s="46"/>
      <c r="E1308" s="47">
        <v>75891</v>
      </c>
      <c r="F1308" s="48">
        <v>7</v>
      </c>
      <c r="G1308" s="45" t="s">
        <v>2158</v>
      </c>
      <c r="H1308" s="30" t="s">
        <v>2159</v>
      </c>
      <c r="I1308" s="45" t="s">
        <v>92</v>
      </c>
      <c r="J1308" s="45" t="s">
        <v>110</v>
      </c>
      <c r="K1308" s="50" t="str">
        <f>"00027116"</f>
        <v>00027116</v>
      </c>
    </row>
    <row r="1309" spans="1:11" ht="45" customHeight="1">
      <c r="A1309" s="30">
        <v>105</v>
      </c>
      <c r="B1309" s="45" t="s">
        <v>2157</v>
      </c>
      <c r="C1309" s="45" t="s">
        <v>38</v>
      </c>
      <c r="D1309" s="46"/>
      <c r="E1309" s="47">
        <v>68932</v>
      </c>
      <c r="F1309" s="48">
        <v>7</v>
      </c>
      <c r="G1309" s="45" t="s">
        <v>2162</v>
      </c>
      <c r="H1309" s="30" t="s">
        <v>2161</v>
      </c>
      <c r="I1309" s="45" t="s">
        <v>92</v>
      </c>
      <c r="J1309" s="45" t="s">
        <v>110</v>
      </c>
      <c r="K1309" s="50" t="str">
        <f>"00027128"</f>
        <v>00027128</v>
      </c>
    </row>
    <row r="1310" spans="1:11" ht="45" customHeight="1">
      <c r="A1310" s="30">
        <v>105</v>
      </c>
      <c r="B1310" s="45" t="s">
        <v>238</v>
      </c>
      <c r="C1310" s="45" t="s">
        <v>38</v>
      </c>
      <c r="D1310" s="46"/>
      <c r="E1310" s="47">
        <v>77000</v>
      </c>
      <c r="F1310" s="48">
        <v>7</v>
      </c>
      <c r="G1310" s="45" t="s">
        <v>2168</v>
      </c>
      <c r="H1310" s="30" t="s">
        <v>926</v>
      </c>
      <c r="I1310" s="49" t="s">
        <v>927</v>
      </c>
      <c r="J1310" s="53" t="s">
        <v>928</v>
      </c>
      <c r="K1310" s="50" t="str">
        <f>"00028694"</f>
        <v>00028694</v>
      </c>
    </row>
    <row r="1311" spans="1:11" ht="45" customHeight="1">
      <c r="A1311" s="30">
        <v>105</v>
      </c>
      <c r="B1311" s="49" t="s">
        <v>2153</v>
      </c>
      <c r="C1311" s="45" t="s">
        <v>38</v>
      </c>
      <c r="D1311" s="46"/>
      <c r="E1311" s="47">
        <v>145227</v>
      </c>
      <c r="F1311" s="48">
        <v>7</v>
      </c>
      <c r="G1311" s="49" t="s">
        <v>2154</v>
      </c>
      <c r="H1311" s="30" t="s">
        <v>926</v>
      </c>
      <c r="I1311" s="49" t="s">
        <v>927</v>
      </c>
      <c r="J1311" s="53" t="s">
        <v>928</v>
      </c>
      <c r="K1311" s="50" t="str">
        <f>"00028694"</f>
        <v>00028694</v>
      </c>
    </row>
    <row r="1312" spans="1:11" ht="45" customHeight="1">
      <c r="A1312" s="30">
        <v>105</v>
      </c>
      <c r="B1312" s="51" t="s">
        <v>2170</v>
      </c>
      <c r="C1312" s="45" t="s">
        <v>38</v>
      </c>
      <c r="D1312" s="46"/>
      <c r="E1312" s="47">
        <v>34700</v>
      </c>
      <c r="F1312" s="48">
        <v>7</v>
      </c>
      <c r="G1312" s="45" t="s">
        <v>2171</v>
      </c>
      <c r="H1312" s="30" t="s">
        <v>2172</v>
      </c>
      <c r="I1312" s="45" t="s">
        <v>222</v>
      </c>
      <c r="J1312" s="45" t="s">
        <v>223</v>
      </c>
      <c r="K1312" s="61" t="s">
        <v>6032</v>
      </c>
    </row>
    <row r="1313" spans="1:11" ht="45" customHeight="1">
      <c r="A1313" s="30">
        <v>105</v>
      </c>
      <c r="B1313" s="45" t="s">
        <v>245</v>
      </c>
      <c r="C1313" s="45" t="s">
        <v>38</v>
      </c>
      <c r="D1313" s="46"/>
      <c r="E1313" s="47">
        <v>122156</v>
      </c>
      <c r="F1313" s="48">
        <v>7</v>
      </c>
      <c r="G1313" s="49" t="s">
        <v>2173</v>
      </c>
      <c r="H1313" s="30" t="s">
        <v>2174</v>
      </c>
      <c r="I1313" s="45" t="s">
        <v>92</v>
      </c>
      <c r="J1313" s="45" t="s">
        <v>2175</v>
      </c>
      <c r="K1313" s="61" t="s">
        <v>6033</v>
      </c>
    </row>
    <row r="1314" spans="1:11" ht="45" customHeight="1">
      <c r="A1314" s="30">
        <v>105</v>
      </c>
      <c r="B1314" s="51" t="s">
        <v>3</v>
      </c>
      <c r="C1314" s="45" t="s">
        <v>38</v>
      </c>
      <c r="D1314" s="46"/>
      <c r="E1314" s="47">
        <v>78877</v>
      </c>
      <c r="F1314" s="48">
        <v>7</v>
      </c>
      <c r="G1314" s="45" t="s">
        <v>5588</v>
      </c>
      <c r="H1314" s="30" t="s">
        <v>2178</v>
      </c>
      <c r="I1314" s="45" t="s">
        <v>222</v>
      </c>
      <c r="J1314" s="45" t="s">
        <v>223</v>
      </c>
      <c r="K1314" s="61" t="s">
        <v>6034</v>
      </c>
    </row>
    <row r="1315" spans="1:11" ht="45" customHeight="1">
      <c r="A1315" s="30">
        <v>105</v>
      </c>
      <c r="B1315" s="45" t="s">
        <v>225</v>
      </c>
      <c r="C1315" s="45" t="s">
        <v>38</v>
      </c>
      <c r="D1315" s="46"/>
      <c r="E1315" s="47">
        <v>58970</v>
      </c>
      <c r="F1315" s="48">
        <v>7</v>
      </c>
      <c r="G1315" s="45" t="s">
        <v>2181</v>
      </c>
      <c r="H1315" s="30" t="s">
        <v>2182</v>
      </c>
      <c r="I1315" s="45" t="s">
        <v>120</v>
      </c>
      <c r="J1315" s="45" t="s">
        <v>120</v>
      </c>
      <c r="K1315" s="61" t="s">
        <v>6035</v>
      </c>
    </row>
    <row r="1316" spans="1:11" ht="45" customHeight="1">
      <c r="A1316" s="30">
        <v>105</v>
      </c>
      <c r="B1316" s="51" t="s">
        <v>3</v>
      </c>
      <c r="C1316" s="45" t="s">
        <v>38</v>
      </c>
      <c r="D1316" s="46"/>
      <c r="E1316" s="47">
        <v>40460</v>
      </c>
      <c r="F1316" s="48">
        <v>7</v>
      </c>
      <c r="G1316" s="49" t="s">
        <v>2185</v>
      </c>
      <c r="H1316" s="30" t="s">
        <v>2186</v>
      </c>
      <c r="I1316" s="45" t="s">
        <v>92</v>
      </c>
      <c r="J1316" s="45" t="s">
        <v>2187</v>
      </c>
      <c r="K1316" s="61" t="s">
        <v>6036</v>
      </c>
    </row>
    <row r="1317" spans="1:11" ht="45" customHeight="1">
      <c r="A1317" s="30">
        <v>105</v>
      </c>
      <c r="B1317" s="45" t="s">
        <v>252</v>
      </c>
      <c r="C1317" s="45" t="s">
        <v>38</v>
      </c>
      <c r="D1317" s="46"/>
      <c r="E1317" s="47">
        <v>123119</v>
      </c>
      <c r="F1317" s="48">
        <v>7</v>
      </c>
      <c r="G1317" s="49" t="s">
        <v>2188</v>
      </c>
      <c r="H1317" s="30" t="s">
        <v>2189</v>
      </c>
      <c r="I1317" s="49" t="s">
        <v>2190</v>
      </c>
      <c r="J1317" s="49" t="s">
        <v>2191</v>
      </c>
      <c r="K1317" s="61" t="s">
        <v>6037</v>
      </c>
    </row>
    <row r="1318" spans="1:11" ht="45" customHeight="1">
      <c r="A1318" s="30">
        <v>105</v>
      </c>
      <c r="B1318" s="45" t="s">
        <v>2176</v>
      </c>
      <c r="C1318" s="45" t="s">
        <v>38</v>
      </c>
      <c r="D1318" s="46"/>
      <c r="E1318" s="47">
        <v>30000</v>
      </c>
      <c r="F1318" s="48">
        <v>7</v>
      </c>
      <c r="G1318" s="45" t="s">
        <v>2177</v>
      </c>
      <c r="H1318" s="30" t="s">
        <v>2172</v>
      </c>
      <c r="I1318" s="45" t="s">
        <v>222</v>
      </c>
      <c r="J1318" s="45" t="s">
        <v>223</v>
      </c>
      <c r="K1318" s="61" t="s">
        <v>6032</v>
      </c>
    </row>
    <row r="1319" spans="1:11" ht="45" customHeight="1">
      <c r="A1319" s="30">
        <v>105</v>
      </c>
      <c r="B1319" s="51" t="s">
        <v>2170</v>
      </c>
      <c r="C1319" s="45" t="s">
        <v>38</v>
      </c>
      <c r="D1319" s="46"/>
      <c r="E1319" s="47">
        <v>90929</v>
      </c>
      <c r="F1319" s="48">
        <v>7</v>
      </c>
      <c r="G1319" s="45" t="s">
        <v>2179</v>
      </c>
      <c r="H1319" s="30" t="s">
        <v>2180</v>
      </c>
      <c r="I1319" s="45" t="s">
        <v>222</v>
      </c>
      <c r="J1319" s="45" t="s">
        <v>223</v>
      </c>
      <c r="K1319" s="61" t="s">
        <v>6038</v>
      </c>
    </row>
    <row r="1320" spans="1:11" ht="45" customHeight="1">
      <c r="A1320" s="30">
        <v>105</v>
      </c>
      <c r="B1320" s="45" t="s">
        <v>245</v>
      </c>
      <c r="C1320" s="45" t="s">
        <v>38</v>
      </c>
      <c r="D1320" s="46"/>
      <c r="E1320" s="47">
        <v>64518</v>
      </c>
      <c r="F1320" s="48">
        <v>7</v>
      </c>
      <c r="G1320" s="45" t="s">
        <v>2084</v>
      </c>
      <c r="H1320" s="30" t="s">
        <v>1754</v>
      </c>
      <c r="I1320" s="45" t="s">
        <v>100</v>
      </c>
      <c r="J1320" s="45" t="s">
        <v>101</v>
      </c>
      <c r="K1320" s="61" t="s">
        <v>6039</v>
      </c>
    </row>
    <row r="1321" spans="1:11" ht="45" customHeight="1">
      <c r="A1321" s="30">
        <v>105</v>
      </c>
      <c r="B1321" s="45" t="s">
        <v>245</v>
      </c>
      <c r="C1321" s="45" t="s">
        <v>38</v>
      </c>
      <c r="D1321" s="46"/>
      <c r="E1321" s="47">
        <v>98063</v>
      </c>
      <c r="F1321" s="48">
        <v>7</v>
      </c>
      <c r="G1321" s="76" t="s">
        <v>2173</v>
      </c>
      <c r="H1321" s="30" t="s">
        <v>2183</v>
      </c>
      <c r="I1321" s="45" t="s">
        <v>92</v>
      </c>
      <c r="J1321" s="45" t="s">
        <v>2184</v>
      </c>
      <c r="K1321" s="61" t="s">
        <v>6040</v>
      </c>
    </row>
    <row r="1322" spans="1:11" ht="45" customHeight="1">
      <c r="A1322" s="30">
        <v>105</v>
      </c>
      <c r="B1322" s="45" t="s">
        <v>865</v>
      </c>
      <c r="C1322" s="45" t="s">
        <v>38</v>
      </c>
      <c r="D1322" s="46"/>
      <c r="E1322" s="47">
        <v>83095</v>
      </c>
      <c r="F1322" s="48">
        <v>7</v>
      </c>
      <c r="G1322" s="76" t="s">
        <v>2192</v>
      </c>
      <c r="H1322" s="30" t="s">
        <v>1674</v>
      </c>
      <c r="I1322" s="45" t="s">
        <v>107</v>
      </c>
      <c r="J1322" s="45" t="s">
        <v>2193</v>
      </c>
      <c r="K1322" s="96" t="s">
        <v>6042</v>
      </c>
    </row>
    <row r="1323" spans="1:11" ht="45" customHeight="1">
      <c r="A1323" s="30">
        <v>105</v>
      </c>
      <c r="B1323" s="45" t="s">
        <v>2080</v>
      </c>
      <c r="C1323" s="45" t="s">
        <v>38</v>
      </c>
      <c r="D1323" s="46"/>
      <c r="E1323" s="47">
        <v>96371</v>
      </c>
      <c r="F1323" s="48">
        <v>7</v>
      </c>
      <c r="G1323" s="45" t="s">
        <v>2081</v>
      </c>
      <c r="H1323" s="30" t="s">
        <v>2082</v>
      </c>
      <c r="I1323" s="45" t="s">
        <v>107</v>
      </c>
      <c r="J1323" s="45" t="s">
        <v>2083</v>
      </c>
      <c r="K1323" s="61" t="s">
        <v>6043</v>
      </c>
    </row>
    <row r="1324" spans="1:11" ht="45" customHeight="1">
      <c r="A1324" s="30">
        <v>105</v>
      </c>
      <c r="B1324" s="45" t="s">
        <v>970</v>
      </c>
      <c r="C1324" s="45" t="s">
        <v>38</v>
      </c>
      <c r="D1324" s="46"/>
      <c r="E1324" s="47">
        <v>82146</v>
      </c>
      <c r="F1324" s="48">
        <v>7</v>
      </c>
      <c r="G1324" s="45" t="s">
        <v>271</v>
      </c>
      <c r="H1324" s="30" t="s">
        <v>2079</v>
      </c>
      <c r="I1324" s="45" t="s">
        <v>222</v>
      </c>
      <c r="J1324" s="45" t="s">
        <v>223</v>
      </c>
      <c r="K1324" s="61" t="s">
        <v>6044</v>
      </c>
    </row>
    <row r="1325" spans="1:11" ht="45" customHeight="1">
      <c r="A1325" s="30">
        <v>105</v>
      </c>
      <c r="B1325" s="49" t="s">
        <v>890</v>
      </c>
      <c r="C1325" s="45" t="s">
        <v>38</v>
      </c>
      <c r="D1325" s="46"/>
      <c r="E1325" s="47">
        <v>6845</v>
      </c>
      <c r="F1325" s="48">
        <v>7</v>
      </c>
      <c r="G1325" s="45" t="s">
        <v>5589</v>
      </c>
      <c r="H1325" s="30" t="s">
        <v>2089</v>
      </c>
      <c r="I1325" s="45" t="s">
        <v>107</v>
      </c>
      <c r="J1325" s="45" t="s">
        <v>1220</v>
      </c>
      <c r="K1325" s="96" t="s">
        <v>6041</v>
      </c>
    </row>
    <row r="1326" spans="1:11" ht="45" customHeight="1">
      <c r="A1326" s="30">
        <v>105</v>
      </c>
      <c r="B1326" s="45" t="s">
        <v>2085</v>
      </c>
      <c r="C1326" s="45" t="s">
        <v>38</v>
      </c>
      <c r="D1326" s="46"/>
      <c r="E1326" s="47">
        <v>90475</v>
      </c>
      <c r="F1326" s="48">
        <v>7</v>
      </c>
      <c r="G1326" s="45" t="s">
        <v>2086</v>
      </c>
      <c r="H1326" s="30" t="s">
        <v>2087</v>
      </c>
      <c r="I1326" s="45" t="s">
        <v>107</v>
      </c>
      <c r="J1326" s="45" t="s">
        <v>2088</v>
      </c>
      <c r="K1326" s="61" t="s">
        <v>6045</v>
      </c>
    </row>
    <row r="1327" spans="1:11" ht="45" customHeight="1">
      <c r="A1327" s="30">
        <v>105</v>
      </c>
      <c r="B1327" s="45" t="s">
        <v>1001</v>
      </c>
      <c r="C1327" s="45" t="s">
        <v>38</v>
      </c>
      <c r="D1327" s="46"/>
      <c r="E1327" s="47">
        <v>172517</v>
      </c>
      <c r="F1327" s="48">
        <v>7</v>
      </c>
      <c r="G1327" s="76" t="s">
        <v>2092</v>
      </c>
      <c r="H1327" s="30" t="s">
        <v>2093</v>
      </c>
      <c r="I1327" s="45" t="s">
        <v>98</v>
      </c>
      <c r="J1327" s="45" t="s">
        <v>431</v>
      </c>
      <c r="K1327" s="61" t="s">
        <v>6046</v>
      </c>
    </row>
    <row r="1328" spans="1:11" ht="45" customHeight="1">
      <c r="A1328" s="30">
        <v>105</v>
      </c>
      <c r="B1328" s="45" t="s">
        <v>58</v>
      </c>
      <c r="C1328" s="45" t="s">
        <v>38</v>
      </c>
      <c r="D1328" s="46"/>
      <c r="E1328" s="47">
        <v>43818</v>
      </c>
      <c r="F1328" s="48">
        <v>7</v>
      </c>
      <c r="G1328" s="45" t="s">
        <v>2100</v>
      </c>
      <c r="H1328" s="30" t="s">
        <v>2101</v>
      </c>
      <c r="I1328" s="45" t="s">
        <v>116</v>
      </c>
      <c r="J1328" s="45" t="s">
        <v>117</v>
      </c>
      <c r="K1328" s="50" t="str">
        <f>"00028394"</f>
        <v>00028394</v>
      </c>
    </row>
    <row r="1329" spans="1:11" ht="45" customHeight="1">
      <c r="A1329" s="30">
        <v>105</v>
      </c>
      <c r="B1329" s="45" t="s">
        <v>245</v>
      </c>
      <c r="C1329" s="45" t="s">
        <v>38</v>
      </c>
      <c r="D1329" s="46"/>
      <c r="E1329" s="47">
        <v>81679</v>
      </c>
      <c r="F1329" s="48">
        <v>7</v>
      </c>
      <c r="G1329" s="45" t="s">
        <v>2102</v>
      </c>
      <c r="H1329" s="30" t="s">
        <v>2103</v>
      </c>
      <c r="I1329" s="45" t="s">
        <v>107</v>
      </c>
      <c r="J1329" s="45" t="s">
        <v>277</v>
      </c>
      <c r="K1329" s="61" t="s">
        <v>6048</v>
      </c>
    </row>
    <row r="1330" spans="1:11" ht="45" customHeight="1">
      <c r="A1330" s="30">
        <v>105</v>
      </c>
      <c r="B1330" s="45" t="s">
        <v>245</v>
      </c>
      <c r="C1330" s="45" t="s">
        <v>38</v>
      </c>
      <c r="D1330" s="46"/>
      <c r="E1330" s="47">
        <v>57573</v>
      </c>
      <c r="F1330" s="48">
        <v>7</v>
      </c>
      <c r="G1330" s="45" t="s">
        <v>5590</v>
      </c>
      <c r="H1330" s="30" t="s">
        <v>2090</v>
      </c>
      <c r="I1330" s="45" t="s">
        <v>92</v>
      </c>
      <c r="J1330" s="45" t="s">
        <v>2091</v>
      </c>
      <c r="K1330" s="61" t="s">
        <v>6049</v>
      </c>
    </row>
    <row r="1331" spans="1:11" ht="45" customHeight="1">
      <c r="A1331" s="30">
        <v>105</v>
      </c>
      <c r="B1331" s="51" t="s">
        <v>3</v>
      </c>
      <c r="C1331" s="45" t="s">
        <v>38</v>
      </c>
      <c r="D1331" s="46"/>
      <c r="E1331" s="47">
        <v>58470</v>
      </c>
      <c r="F1331" s="48">
        <v>7</v>
      </c>
      <c r="G1331" s="45" t="s">
        <v>5591</v>
      </c>
      <c r="H1331" s="30" t="s">
        <v>2077</v>
      </c>
      <c r="I1331" s="45" t="s">
        <v>351</v>
      </c>
      <c r="J1331" s="45" t="s">
        <v>2078</v>
      </c>
      <c r="K1331" s="61" t="s">
        <v>6050</v>
      </c>
    </row>
    <row r="1332" spans="1:11" ht="45" customHeight="1">
      <c r="A1332" s="30">
        <v>105</v>
      </c>
      <c r="B1332" s="45" t="s">
        <v>2094</v>
      </c>
      <c r="C1332" s="45" t="s">
        <v>38</v>
      </c>
      <c r="D1332" s="46"/>
      <c r="E1332" s="47">
        <v>51145</v>
      </c>
      <c r="F1332" s="48">
        <v>7</v>
      </c>
      <c r="G1332" s="45" t="s">
        <v>5592</v>
      </c>
      <c r="H1332" s="30" t="s">
        <v>1996</v>
      </c>
      <c r="I1332" s="45" t="s">
        <v>92</v>
      </c>
      <c r="J1332" s="45" t="s">
        <v>2095</v>
      </c>
      <c r="K1332" s="61" t="s">
        <v>6051</v>
      </c>
    </row>
    <row r="1333" spans="1:11" ht="45" customHeight="1">
      <c r="A1333" s="30">
        <v>105</v>
      </c>
      <c r="B1333" s="45" t="s">
        <v>970</v>
      </c>
      <c r="C1333" s="45" t="s">
        <v>38</v>
      </c>
      <c r="D1333" s="46"/>
      <c r="E1333" s="47">
        <v>86279</v>
      </c>
      <c r="F1333" s="48">
        <v>7</v>
      </c>
      <c r="G1333" s="45" t="s">
        <v>2109</v>
      </c>
      <c r="H1333" s="30" t="s">
        <v>2110</v>
      </c>
      <c r="I1333" s="45" t="s">
        <v>222</v>
      </c>
      <c r="J1333" s="45" t="s">
        <v>223</v>
      </c>
      <c r="K1333" s="61" t="s">
        <v>6052</v>
      </c>
    </row>
    <row r="1334" spans="1:11" ht="45" customHeight="1">
      <c r="A1334" s="30">
        <v>105</v>
      </c>
      <c r="B1334" s="45" t="s">
        <v>865</v>
      </c>
      <c r="C1334" s="45" t="s">
        <v>38</v>
      </c>
      <c r="D1334" s="46"/>
      <c r="E1334" s="47">
        <v>125427</v>
      </c>
      <c r="F1334" s="48">
        <v>7</v>
      </c>
      <c r="G1334" s="45" t="s">
        <v>5593</v>
      </c>
      <c r="H1334" s="30" t="s">
        <v>2108</v>
      </c>
      <c r="I1334" s="45" t="s">
        <v>98</v>
      </c>
      <c r="J1334" s="45" t="s">
        <v>431</v>
      </c>
      <c r="K1334" s="61" t="s">
        <v>6053</v>
      </c>
    </row>
    <row r="1335" spans="1:11" ht="45" customHeight="1">
      <c r="A1335" s="30">
        <v>105</v>
      </c>
      <c r="B1335" s="45" t="s">
        <v>252</v>
      </c>
      <c r="C1335" s="45" t="s">
        <v>38</v>
      </c>
      <c r="D1335" s="46"/>
      <c r="E1335" s="47">
        <v>24000</v>
      </c>
      <c r="F1335" s="48">
        <v>7</v>
      </c>
      <c r="G1335" s="45" t="s">
        <v>2104</v>
      </c>
      <c r="H1335" s="30" t="s">
        <v>875</v>
      </c>
      <c r="I1335" s="45" t="s">
        <v>107</v>
      </c>
      <c r="J1335" s="45" t="s">
        <v>122</v>
      </c>
      <c r="K1335" s="96" t="s">
        <v>6047</v>
      </c>
    </row>
    <row r="1336" spans="1:11" ht="45" customHeight="1">
      <c r="A1336" s="30">
        <v>105</v>
      </c>
      <c r="B1336" s="45" t="s">
        <v>2085</v>
      </c>
      <c r="C1336" s="45" t="s">
        <v>38</v>
      </c>
      <c r="D1336" s="46"/>
      <c r="E1336" s="47">
        <v>80834</v>
      </c>
      <c r="F1336" s="48">
        <v>7</v>
      </c>
      <c r="G1336" s="45" t="s">
        <v>2105</v>
      </c>
      <c r="H1336" s="30" t="s">
        <v>2106</v>
      </c>
      <c r="I1336" s="45" t="s">
        <v>92</v>
      </c>
      <c r="J1336" s="45" t="s">
        <v>2107</v>
      </c>
      <c r="K1336" s="61" t="s">
        <v>6054</v>
      </c>
    </row>
    <row r="1337" spans="1:11" ht="45" customHeight="1">
      <c r="A1337" s="30">
        <v>105</v>
      </c>
      <c r="B1337" s="45" t="s">
        <v>245</v>
      </c>
      <c r="C1337" s="45" t="s">
        <v>38</v>
      </c>
      <c r="D1337" s="46"/>
      <c r="E1337" s="47">
        <v>19011</v>
      </c>
      <c r="F1337" s="48">
        <v>7</v>
      </c>
      <c r="G1337" s="45" t="s">
        <v>2105</v>
      </c>
      <c r="H1337" s="30" t="s">
        <v>2106</v>
      </c>
      <c r="I1337" s="45" t="s">
        <v>92</v>
      </c>
      <c r="J1337" s="45" t="s">
        <v>2107</v>
      </c>
      <c r="K1337" s="61" t="s">
        <v>6054</v>
      </c>
    </row>
    <row r="1338" spans="1:11" ht="45" customHeight="1">
      <c r="A1338" s="30">
        <v>105</v>
      </c>
      <c r="B1338" s="45" t="s">
        <v>231</v>
      </c>
      <c r="C1338" s="45" t="s">
        <v>38</v>
      </c>
      <c r="D1338" s="46"/>
      <c r="E1338" s="47">
        <v>29135</v>
      </c>
      <c r="F1338" s="48">
        <v>7</v>
      </c>
      <c r="G1338" s="45" t="s">
        <v>2111</v>
      </c>
      <c r="H1338" s="30" t="s">
        <v>859</v>
      </c>
      <c r="I1338" s="45" t="s">
        <v>107</v>
      </c>
      <c r="J1338" s="49" t="s">
        <v>860</v>
      </c>
      <c r="K1338" s="50" t="str">
        <f>"00030290"</f>
        <v>00030290</v>
      </c>
    </row>
    <row r="1339" spans="1:11" ht="45" customHeight="1">
      <c r="A1339" s="30">
        <v>105</v>
      </c>
      <c r="B1339" s="45" t="s">
        <v>854</v>
      </c>
      <c r="C1339" s="45" t="s">
        <v>38</v>
      </c>
      <c r="D1339" s="46"/>
      <c r="E1339" s="47">
        <v>41370</v>
      </c>
      <c r="F1339" s="48">
        <v>7</v>
      </c>
      <c r="G1339" s="45" t="s">
        <v>258</v>
      </c>
      <c r="H1339" s="30" t="s">
        <v>1632</v>
      </c>
      <c r="I1339" s="45" t="s">
        <v>100</v>
      </c>
      <c r="J1339" s="45" t="s">
        <v>39</v>
      </c>
      <c r="K1339" s="61" t="s">
        <v>6055</v>
      </c>
    </row>
    <row r="1340" spans="1:11" ht="45" customHeight="1">
      <c r="A1340" s="30">
        <v>105</v>
      </c>
      <c r="B1340" s="45" t="s">
        <v>854</v>
      </c>
      <c r="C1340" s="45" t="s">
        <v>38</v>
      </c>
      <c r="D1340" s="46"/>
      <c r="E1340" s="47">
        <v>41370</v>
      </c>
      <c r="F1340" s="48">
        <v>7</v>
      </c>
      <c r="G1340" s="45" t="s">
        <v>2113</v>
      </c>
      <c r="H1340" s="30" t="s">
        <v>1632</v>
      </c>
      <c r="I1340" s="45" t="s">
        <v>100</v>
      </c>
      <c r="J1340" s="45" t="s">
        <v>39</v>
      </c>
      <c r="K1340" s="61" t="s">
        <v>6056</v>
      </c>
    </row>
    <row r="1341" spans="1:11" ht="45" customHeight="1">
      <c r="A1341" s="30">
        <v>105</v>
      </c>
      <c r="B1341" s="45" t="s">
        <v>854</v>
      </c>
      <c r="C1341" s="45" t="s">
        <v>38</v>
      </c>
      <c r="D1341" s="46"/>
      <c r="E1341" s="47">
        <v>41370</v>
      </c>
      <c r="F1341" s="48">
        <v>7</v>
      </c>
      <c r="G1341" s="45" t="s">
        <v>258</v>
      </c>
      <c r="H1341" s="30" t="s">
        <v>1632</v>
      </c>
      <c r="I1341" s="45" t="s">
        <v>100</v>
      </c>
      <c r="J1341" s="45" t="s">
        <v>39</v>
      </c>
      <c r="K1341" s="61" t="s">
        <v>6057</v>
      </c>
    </row>
    <row r="1342" spans="1:11" ht="45" customHeight="1">
      <c r="A1342" s="30">
        <v>105</v>
      </c>
      <c r="B1342" s="45" t="s">
        <v>854</v>
      </c>
      <c r="C1342" s="45" t="s">
        <v>38</v>
      </c>
      <c r="D1342" s="46"/>
      <c r="E1342" s="47">
        <v>41370</v>
      </c>
      <c r="F1342" s="48">
        <v>7</v>
      </c>
      <c r="G1342" s="45" t="s">
        <v>258</v>
      </c>
      <c r="H1342" s="30" t="s">
        <v>1632</v>
      </c>
      <c r="I1342" s="45" t="s">
        <v>100</v>
      </c>
      <c r="J1342" s="45" t="s">
        <v>39</v>
      </c>
      <c r="K1342" s="61" t="s">
        <v>6058</v>
      </c>
    </row>
    <row r="1343" spans="1:11" ht="45" customHeight="1">
      <c r="A1343" s="30">
        <v>105</v>
      </c>
      <c r="B1343" s="45" t="s">
        <v>854</v>
      </c>
      <c r="C1343" s="45" t="s">
        <v>38</v>
      </c>
      <c r="D1343" s="46"/>
      <c r="E1343" s="47">
        <v>41370</v>
      </c>
      <c r="F1343" s="48">
        <v>7</v>
      </c>
      <c r="G1343" s="45" t="s">
        <v>258</v>
      </c>
      <c r="H1343" s="30" t="s">
        <v>1632</v>
      </c>
      <c r="I1343" s="45" t="s">
        <v>100</v>
      </c>
      <c r="J1343" s="45" t="s">
        <v>39</v>
      </c>
      <c r="K1343" s="61" t="s">
        <v>6059</v>
      </c>
    </row>
    <row r="1344" spans="1:11" ht="45" customHeight="1">
      <c r="A1344" s="30">
        <v>105</v>
      </c>
      <c r="B1344" s="45" t="s">
        <v>854</v>
      </c>
      <c r="C1344" s="45" t="s">
        <v>38</v>
      </c>
      <c r="D1344" s="46"/>
      <c r="E1344" s="47">
        <v>37327</v>
      </c>
      <c r="F1344" s="48">
        <v>7</v>
      </c>
      <c r="G1344" s="45" t="s">
        <v>258</v>
      </c>
      <c r="H1344" s="30" t="s">
        <v>2112</v>
      </c>
      <c r="I1344" s="45" t="s">
        <v>100</v>
      </c>
      <c r="J1344" s="45" t="s">
        <v>39</v>
      </c>
      <c r="K1344" s="61" t="s">
        <v>6060</v>
      </c>
    </row>
    <row r="1345" spans="1:11" ht="45" customHeight="1">
      <c r="A1345" s="30">
        <v>105</v>
      </c>
      <c r="B1345" s="45" t="s">
        <v>865</v>
      </c>
      <c r="C1345" s="45" t="s">
        <v>38</v>
      </c>
      <c r="D1345" s="46"/>
      <c r="E1345" s="47">
        <v>57927</v>
      </c>
      <c r="F1345" s="48">
        <v>7</v>
      </c>
      <c r="G1345" s="45" t="s">
        <v>2114</v>
      </c>
      <c r="H1345" s="30" t="s">
        <v>2115</v>
      </c>
      <c r="I1345" s="45" t="s">
        <v>120</v>
      </c>
      <c r="J1345" s="45" t="s">
        <v>120</v>
      </c>
      <c r="K1345" s="61" t="s">
        <v>6061</v>
      </c>
    </row>
    <row r="1346" spans="1:11" ht="45" customHeight="1">
      <c r="A1346" s="30">
        <v>105</v>
      </c>
      <c r="B1346" s="45" t="s">
        <v>983</v>
      </c>
      <c r="C1346" s="45" t="s">
        <v>38</v>
      </c>
      <c r="D1346" s="46"/>
      <c r="E1346" s="47">
        <v>47600</v>
      </c>
      <c r="F1346" s="48">
        <v>7</v>
      </c>
      <c r="G1346" s="45" t="s">
        <v>258</v>
      </c>
      <c r="H1346" s="30" t="s">
        <v>1632</v>
      </c>
      <c r="I1346" s="45" t="s">
        <v>100</v>
      </c>
      <c r="J1346" s="45" t="s">
        <v>39</v>
      </c>
      <c r="K1346" s="61" t="s">
        <v>6062</v>
      </c>
    </row>
    <row r="1347" spans="1:11" ht="45" customHeight="1">
      <c r="A1347" s="30">
        <v>105</v>
      </c>
      <c r="B1347" s="49" t="s">
        <v>248</v>
      </c>
      <c r="C1347" s="45" t="s">
        <v>38</v>
      </c>
      <c r="D1347" s="46"/>
      <c r="E1347" s="47">
        <v>191988</v>
      </c>
      <c r="F1347" s="48">
        <v>7</v>
      </c>
      <c r="G1347" s="45" t="s">
        <v>2136</v>
      </c>
      <c r="H1347" s="30" t="s">
        <v>2137</v>
      </c>
      <c r="I1347" s="45" t="s">
        <v>222</v>
      </c>
      <c r="J1347" s="45" t="s">
        <v>223</v>
      </c>
      <c r="K1347" s="50" t="str">
        <f>"00028783"</f>
        <v>00028783</v>
      </c>
    </row>
    <row r="1348" spans="1:11" ht="45" customHeight="1">
      <c r="A1348" s="30">
        <v>105</v>
      </c>
      <c r="B1348" s="45" t="s">
        <v>983</v>
      </c>
      <c r="C1348" s="45" t="s">
        <v>38</v>
      </c>
      <c r="D1348" s="46"/>
      <c r="E1348" s="47">
        <v>33903</v>
      </c>
      <c r="F1348" s="48">
        <v>7</v>
      </c>
      <c r="G1348" s="45" t="s">
        <v>2117</v>
      </c>
      <c r="H1348" s="30" t="s">
        <v>2118</v>
      </c>
      <c r="I1348" s="45" t="s">
        <v>120</v>
      </c>
      <c r="J1348" s="45" t="s">
        <v>120</v>
      </c>
      <c r="K1348" s="61" t="s">
        <v>6063</v>
      </c>
    </row>
    <row r="1349" spans="1:11" ht="45" customHeight="1">
      <c r="A1349" s="30">
        <v>105</v>
      </c>
      <c r="B1349" s="45" t="s">
        <v>983</v>
      </c>
      <c r="C1349" s="45" t="s">
        <v>38</v>
      </c>
      <c r="D1349" s="46"/>
      <c r="E1349" s="47">
        <v>41370</v>
      </c>
      <c r="F1349" s="48">
        <v>7</v>
      </c>
      <c r="G1349" s="45" t="s">
        <v>258</v>
      </c>
      <c r="H1349" s="30" t="s">
        <v>1632</v>
      </c>
      <c r="I1349" s="45" t="s">
        <v>100</v>
      </c>
      <c r="J1349" s="45" t="s">
        <v>39</v>
      </c>
      <c r="K1349" s="61" t="s">
        <v>6064</v>
      </c>
    </row>
    <row r="1350" spans="1:11" ht="45" customHeight="1">
      <c r="A1350" s="30">
        <v>105</v>
      </c>
      <c r="B1350" s="45" t="s">
        <v>983</v>
      </c>
      <c r="C1350" s="45" t="s">
        <v>38</v>
      </c>
      <c r="D1350" s="46"/>
      <c r="E1350" s="47">
        <v>37327</v>
      </c>
      <c r="F1350" s="48">
        <v>7</v>
      </c>
      <c r="G1350" s="45" t="s">
        <v>258</v>
      </c>
      <c r="H1350" s="30" t="s">
        <v>2112</v>
      </c>
      <c r="I1350" s="45" t="s">
        <v>100</v>
      </c>
      <c r="J1350" s="45" t="s">
        <v>39</v>
      </c>
      <c r="K1350" s="61" t="s">
        <v>6065</v>
      </c>
    </row>
    <row r="1351" spans="1:11" ht="45" customHeight="1">
      <c r="A1351" s="30">
        <v>105</v>
      </c>
      <c r="B1351" s="49" t="s">
        <v>977</v>
      </c>
      <c r="C1351" s="45" t="s">
        <v>38</v>
      </c>
      <c r="D1351" s="46"/>
      <c r="E1351" s="47">
        <v>58656</v>
      </c>
      <c r="F1351" s="48">
        <v>7</v>
      </c>
      <c r="G1351" s="45" t="s">
        <v>2116</v>
      </c>
      <c r="H1351" s="30" t="s">
        <v>1000</v>
      </c>
      <c r="I1351" s="45" t="s">
        <v>92</v>
      </c>
      <c r="J1351" s="45" t="s">
        <v>979</v>
      </c>
      <c r="K1351" s="61" t="s">
        <v>6066</v>
      </c>
    </row>
    <row r="1352" spans="1:11" ht="45" customHeight="1">
      <c r="A1352" s="30">
        <v>105</v>
      </c>
      <c r="B1352" s="45" t="s">
        <v>865</v>
      </c>
      <c r="C1352" s="45" t="s">
        <v>38</v>
      </c>
      <c r="D1352" s="46"/>
      <c r="E1352" s="47">
        <v>120207</v>
      </c>
      <c r="F1352" s="48">
        <v>7</v>
      </c>
      <c r="G1352" s="49" t="s">
        <v>2119</v>
      </c>
      <c r="H1352" s="30" t="s">
        <v>2108</v>
      </c>
      <c r="I1352" s="45" t="s">
        <v>107</v>
      </c>
      <c r="J1352" s="51" t="s">
        <v>109</v>
      </c>
      <c r="K1352" s="61" t="s">
        <v>6067</v>
      </c>
    </row>
    <row r="1353" spans="1:11" ht="45" customHeight="1">
      <c r="A1353" s="30">
        <v>105</v>
      </c>
      <c r="B1353" s="45" t="s">
        <v>245</v>
      </c>
      <c r="C1353" s="45" t="s">
        <v>38</v>
      </c>
      <c r="D1353" s="46"/>
      <c r="E1353" s="47">
        <v>45983</v>
      </c>
      <c r="F1353" s="48">
        <v>7</v>
      </c>
      <c r="G1353" s="45" t="s">
        <v>2138</v>
      </c>
      <c r="H1353" s="30" t="s">
        <v>2139</v>
      </c>
      <c r="I1353" s="45" t="s">
        <v>102</v>
      </c>
      <c r="J1353" s="45" t="s">
        <v>2140</v>
      </c>
      <c r="K1353" s="61" t="s">
        <v>6068</v>
      </c>
    </row>
    <row r="1354" spans="1:11" ht="45" customHeight="1">
      <c r="A1354" s="30">
        <v>105</v>
      </c>
      <c r="B1354" s="45" t="s">
        <v>2194</v>
      </c>
      <c r="C1354" s="45" t="s">
        <v>38</v>
      </c>
      <c r="D1354" s="46"/>
      <c r="E1354" s="47">
        <v>87236</v>
      </c>
      <c r="F1354" s="48">
        <v>7</v>
      </c>
      <c r="G1354" s="45" t="s">
        <v>2195</v>
      </c>
      <c r="H1354" s="30" t="s">
        <v>2196</v>
      </c>
      <c r="I1354" s="45" t="s">
        <v>116</v>
      </c>
      <c r="J1354" s="45" t="s">
        <v>2197</v>
      </c>
      <c r="K1354" s="61" t="s">
        <v>6069</v>
      </c>
    </row>
    <row r="1355" spans="1:11" ht="45" customHeight="1">
      <c r="A1355" s="30">
        <v>105</v>
      </c>
      <c r="B1355" s="45" t="s">
        <v>2198</v>
      </c>
      <c r="C1355" s="45" t="s">
        <v>38</v>
      </c>
      <c r="D1355" s="46"/>
      <c r="E1355" s="47">
        <v>120449</v>
      </c>
      <c r="F1355" s="48">
        <v>7</v>
      </c>
      <c r="G1355" s="45" t="s">
        <v>2199</v>
      </c>
      <c r="H1355" s="30" t="s">
        <v>1731</v>
      </c>
      <c r="I1355" s="51" t="s">
        <v>2200</v>
      </c>
      <c r="J1355" s="51" t="s">
        <v>2201</v>
      </c>
      <c r="K1355" s="61" t="s">
        <v>6070</v>
      </c>
    </row>
    <row r="1356" spans="1:11" ht="45" customHeight="1">
      <c r="A1356" s="30">
        <v>105</v>
      </c>
      <c r="B1356" s="49" t="s">
        <v>2202</v>
      </c>
      <c r="C1356" s="45" t="s">
        <v>38</v>
      </c>
      <c r="D1356" s="46"/>
      <c r="E1356" s="47">
        <v>140468</v>
      </c>
      <c r="F1356" s="48">
        <v>7</v>
      </c>
      <c r="G1356" s="51" t="s">
        <v>2203</v>
      </c>
      <c r="H1356" s="30" t="s">
        <v>2077</v>
      </c>
      <c r="I1356" s="45" t="s">
        <v>351</v>
      </c>
      <c r="J1356" s="45" t="s">
        <v>2078</v>
      </c>
      <c r="K1356" s="61" t="s">
        <v>6050</v>
      </c>
    </row>
    <row r="1357" spans="1:11" ht="45" customHeight="1">
      <c r="A1357" s="30">
        <v>105</v>
      </c>
      <c r="B1357" s="49" t="s">
        <v>5594</v>
      </c>
      <c r="C1357" s="45" t="s">
        <v>38</v>
      </c>
      <c r="D1357" s="46"/>
      <c r="E1357" s="47">
        <v>284761</v>
      </c>
      <c r="F1357" s="48">
        <v>7</v>
      </c>
      <c r="G1357" s="45" t="s">
        <v>5595</v>
      </c>
      <c r="H1357" s="30" t="s">
        <v>5596</v>
      </c>
      <c r="I1357" s="45" t="s">
        <v>111</v>
      </c>
      <c r="J1357" s="45" t="s">
        <v>5597</v>
      </c>
      <c r="K1357" s="61" t="s">
        <v>6071</v>
      </c>
    </row>
    <row r="1358" spans="1:11" ht="45" customHeight="1">
      <c r="A1358" s="30">
        <v>105</v>
      </c>
      <c r="B1358" s="45" t="s">
        <v>5598</v>
      </c>
      <c r="C1358" s="45" t="s">
        <v>38</v>
      </c>
      <c r="D1358" s="46"/>
      <c r="E1358" s="47">
        <v>66514</v>
      </c>
      <c r="F1358" s="48">
        <v>7</v>
      </c>
      <c r="G1358" s="49" t="s">
        <v>5599</v>
      </c>
      <c r="H1358" s="30" t="s">
        <v>5600</v>
      </c>
      <c r="I1358" s="45" t="s">
        <v>116</v>
      </c>
      <c r="J1358" s="45" t="s">
        <v>5601</v>
      </c>
      <c r="K1358" s="61" t="s">
        <v>6072</v>
      </c>
    </row>
    <row r="1359" spans="1:11" ht="45" customHeight="1">
      <c r="A1359" s="30">
        <v>105</v>
      </c>
      <c r="B1359" s="45" t="s">
        <v>5602</v>
      </c>
      <c r="C1359" s="45" t="s">
        <v>38</v>
      </c>
      <c r="D1359" s="46"/>
      <c r="E1359" s="47">
        <v>31425</v>
      </c>
      <c r="F1359" s="48">
        <v>7</v>
      </c>
      <c r="G1359" s="45" t="s">
        <v>596</v>
      </c>
      <c r="H1359" s="30" t="s">
        <v>2905</v>
      </c>
      <c r="I1359" s="45" t="s">
        <v>92</v>
      </c>
      <c r="J1359" s="45" t="s">
        <v>47</v>
      </c>
      <c r="K1359" s="50" t="str">
        <f>"00027924"</f>
        <v>00027924</v>
      </c>
    </row>
    <row r="1360" spans="1:11" ht="45" customHeight="1">
      <c r="A1360" s="30">
        <v>105</v>
      </c>
      <c r="B1360" s="51" t="s">
        <v>2168</v>
      </c>
      <c r="C1360" s="45" t="s">
        <v>38</v>
      </c>
      <c r="D1360" s="46"/>
      <c r="E1360" s="47">
        <v>87134</v>
      </c>
      <c r="F1360" s="48">
        <v>7</v>
      </c>
      <c r="G1360" s="45" t="s">
        <v>2168</v>
      </c>
      <c r="H1360" s="30" t="s">
        <v>926</v>
      </c>
      <c r="I1360" s="49" t="s">
        <v>927</v>
      </c>
      <c r="J1360" s="53" t="s">
        <v>928</v>
      </c>
      <c r="K1360" s="50" t="str">
        <f>"00028694"</f>
        <v>00028694</v>
      </c>
    </row>
    <row r="1361" spans="1:11" ht="45" customHeight="1">
      <c r="A1361" s="30">
        <v>105</v>
      </c>
      <c r="B1361" s="45" t="s">
        <v>5603</v>
      </c>
      <c r="C1361" s="45" t="s">
        <v>38</v>
      </c>
      <c r="D1361" s="46"/>
      <c r="E1361" s="47">
        <v>62290</v>
      </c>
      <c r="F1361" s="48">
        <v>7</v>
      </c>
      <c r="G1361" s="45" t="s">
        <v>5604</v>
      </c>
      <c r="H1361" s="30" t="s">
        <v>5605</v>
      </c>
      <c r="I1361" s="45" t="s">
        <v>104</v>
      </c>
      <c r="J1361" s="45" t="s">
        <v>176</v>
      </c>
      <c r="K1361" s="50" t="str">
        <f>"00027913"</f>
        <v>00027913</v>
      </c>
    </row>
    <row r="1362" spans="1:11" ht="45" customHeight="1">
      <c r="A1362" s="30">
        <v>105</v>
      </c>
      <c r="B1362" s="45" t="s">
        <v>5603</v>
      </c>
      <c r="C1362" s="45" t="s">
        <v>38</v>
      </c>
      <c r="D1362" s="46"/>
      <c r="E1362" s="47">
        <v>110390</v>
      </c>
      <c r="F1362" s="48">
        <v>7</v>
      </c>
      <c r="G1362" s="45" t="s">
        <v>5606</v>
      </c>
      <c r="H1362" s="30" t="s">
        <v>2137</v>
      </c>
      <c r="I1362" s="45" t="s">
        <v>222</v>
      </c>
      <c r="J1362" s="45" t="s">
        <v>223</v>
      </c>
      <c r="K1362" s="50" t="str">
        <f>"00028783"</f>
        <v>00028783</v>
      </c>
    </row>
    <row r="1363" spans="1:11" ht="45" customHeight="1">
      <c r="A1363" s="30">
        <v>105</v>
      </c>
      <c r="B1363" s="45" t="s">
        <v>5603</v>
      </c>
      <c r="C1363" s="45" t="s">
        <v>38</v>
      </c>
      <c r="D1363" s="46"/>
      <c r="E1363" s="47">
        <v>62290</v>
      </c>
      <c r="F1363" s="48">
        <v>7</v>
      </c>
      <c r="G1363" s="45" t="s">
        <v>5607</v>
      </c>
      <c r="H1363" s="30" t="s">
        <v>5605</v>
      </c>
      <c r="I1363" s="45" t="s">
        <v>104</v>
      </c>
      <c r="J1363" s="45" t="s">
        <v>176</v>
      </c>
      <c r="K1363" s="50" t="str">
        <f>"00027843"</f>
        <v>00027843</v>
      </c>
    </row>
    <row r="1364" spans="1:11" ht="45" customHeight="1">
      <c r="A1364" s="30">
        <v>105</v>
      </c>
      <c r="B1364" s="45" t="s">
        <v>5581</v>
      </c>
      <c r="C1364" s="45" t="s">
        <v>38</v>
      </c>
      <c r="D1364" s="46"/>
      <c r="E1364" s="47">
        <v>31442</v>
      </c>
      <c r="F1364" s="48">
        <v>7</v>
      </c>
      <c r="G1364" s="45" t="s">
        <v>5608</v>
      </c>
      <c r="H1364" s="30" t="s">
        <v>5583</v>
      </c>
      <c r="I1364" s="45" t="s">
        <v>5584</v>
      </c>
      <c r="J1364" s="45" t="s">
        <v>5585</v>
      </c>
      <c r="K1364" s="50" t="str">
        <f>"00031401"</f>
        <v>00031401</v>
      </c>
    </row>
    <row r="1365" spans="1:11" ht="45" customHeight="1">
      <c r="A1365" s="30">
        <v>105</v>
      </c>
      <c r="B1365" s="45" t="s">
        <v>2096</v>
      </c>
      <c r="C1365" s="45" t="s">
        <v>1</v>
      </c>
      <c r="D1365" s="46"/>
      <c r="E1365" s="47">
        <v>40678</v>
      </c>
      <c r="F1365" s="48">
        <v>7</v>
      </c>
      <c r="G1365" s="45" t="s">
        <v>6003</v>
      </c>
      <c r="H1365" s="30" t="s">
        <v>5933</v>
      </c>
      <c r="I1365" s="45" t="s">
        <v>42</v>
      </c>
      <c r="J1365" s="45" t="s">
        <v>2623</v>
      </c>
      <c r="K1365" s="50" t="s">
        <v>5934</v>
      </c>
    </row>
    <row r="1366" spans="1:11" ht="45" customHeight="1">
      <c r="A1366" s="30">
        <v>104</v>
      </c>
      <c r="B1366" s="49" t="s">
        <v>3</v>
      </c>
      <c r="C1366" s="45" t="s">
        <v>38</v>
      </c>
      <c r="D1366" s="46"/>
      <c r="E1366" s="47">
        <v>-2505</v>
      </c>
      <c r="F1366" s="48">
        <v>7</v>
      </c>
      <c r="G1366" s="45" t="s">
        <v>261</v>
      </c>
      <c r="H1366" s="30" t="s">
        <v>262</v>
      </c>
      <c r="I1366" s="45" t="s">
        <v>107</v>
      </c>
      <c r="J1366" s="45" t="s">
        <v>263</v>
      </c>
      <c r="K1366" s="50" t="s">
        <v>6004</v>
      </c>
    </row>
    <row r="1367" spans="1:11" ht="45" customHeight="1">
      <c r="A1367" s="30">
        <v>104</v>
      </c>
      <c r="B1367" s="49" t="s">
        <v>248</v>
      </c>
      <c r="C1367" s="45" t="s">
        <v>38</v>
      </c>
      <c r="D1367" s="46"/>
      <c r="E1367" s="47">
        <v>-73576</v>
      </c>
      <c r="F1367" s="48">
        <v>7</v>
      </c>
      <c r="G1367" s="51" t="s">
        <v>249</v>
      </c>
      <c r="H1367" s="30" t="s">
        <v>250</v>
      </c>
      <c r="I1367" s="45" t="s">
        <v>222</v>
      </c>
      <c r="J1367" s="45" t="s">
        <v>223</v>
      </c>
      <c r="K1367" s="50" t="s">
        <v>6005</v>
      </c>
    </row>
    <row r="1368" spans="1:11" ht="45" customHeight="1">
      <c r="A1368" s="30">
        <v>104</v>
      </c>
      <c r="B1368" s="49" t="s">
        <v>224</v>
      </c>
      <c r="C1368" s="45" t="s">
        <v>38</v>
      </c>
      <c r="D1368" s="46"/>
      <c r="E1368" s="47">
        <v>-139</v>
      </c>
      <c r="F1368" s="48">
        <v>7</v>
      </c>
      <c r="G1368" s="49" t="s">
        <v>6006</v>
      </c>
      <c r="H1368" s="30" t="s">
        <v>256</v>
      </c>
      <c r="I1368" s="45" t="s">
        <v>107</v>
      </c>
      <c r="J1368" s="49" t="s">
        <v>257</v>
      </c>
      <c r="K1368" s="50" t="s">
        <v>6007</v>
      </c>
    </row>
    <row r="1369" spans="1:11" ht="45" customHeight="1">
      <c r="A1369" s="30">
        <v>105</v>
      </c>
      <c r="B1369" s="49" t="s">
        <v>5594</v>
      </c>
      <c r="C1369" s="45" t="s">
        <v>38</v>
      </c>
      <c r="D1369" s="46"/>
      <c r="E1369" s="47">
        <v>1279</v>
      </c>
      <c r="F1369" s="48">
        <v>7</v>
      </c>
      <c r="G1369" s="45" t="s">
        <v>5595</v>
      </c>
      <c r="H1369" s="30" t="s">
        <v>5596</v>
      </c>
      <c r="I1369" s="45" t="s">
        <v>111</v>
      </c>
      <c r="J1369" s="45" t="s">
        <v>5597</v>
      </c>
      <c r="K1369" s="97" t="s">
        <v>6073</v>
      </c>
    </row>
    <row r="1370" spans="1:11" ht="45" customHeight="1">
      <c r="A1370" s="30"/>
      <c r="B1370" s="58" t="s">
        <v>272</v>
      </c>
      <c r="C1370" s="45"/>
      <c r="D1370" s="46"/>
      <c r="E1370" s="47">
        <f>SUM(E1281:E1369)</f>
        <v>6987580</v>
      </c>
      <c r="F1370" s="48"/>
      <c r="G1370" s="45"/>
      <c r="H1370" s="30"/>
      <c r="I1370" s="45"/>
      <c r="J1370" s="45"/>
      <c r="K1370" s="98"/>
    </row>
    <row r="1371" spans="1:11" ht="45" customHeight="1">
      <c r="A1371" s="30"/>
      <c r="B1371" s="56" t="s">
        <v>4</v>
      </c>
      <c r="C1371" s="45"/>
      <c r="D1371" s="46"/>
      <c r="E1371" s="45"/>
      <c r="F1371" s="30"/>
      <c r="G1371" s="45"/>
      <c r="H1371" s="45"/>
      <c r="I1371" s="45"/>
      <c r="J1371" s="45"/>
      <c r="K1371" s="50"/>
    </row>
    <row r="1372" spans="1:11" ht="45" customHeight="1">
      <c r="A1372" s="30">
        <v>105</v>
      </c>
      <c r="B1372" s="45" t="s">
        <v>643</v>
      </c>
      <c r="C1372" s="45" t="s">
        <v>38</v>
      </c>
      <c r="D1372" s="46"/>
      <c r="E1372" s="47">
        <v>70000</v>
      </c>
      <c r="F1372" s="48">
        <v>7</v>
      </c>
      <c r="G1372" s="45" t="s">
        <v>3821</v>
      </c>
      <c r="H1372" s="30" t="s">
        <v>2205</v>
      </c>
      <c r="I1372" s="45" t="s">
        <v>107</v>
      </c>
      <c r="J1372" s="45" t="s">
        <v>108</v>
      </c>
      <c r="K1372" s="97" t="s">
        <v>3822</v>
      </c>
    </row>
    <row r="1373" spans="1:11" ht="45" customHeight="1">
      <c r="A1373" s="30">
        <v>105</v>
      </c>
      <c r="B1373" s="45" t="s">
        <v>639</v>
      </c>
      <c r="C1373" s="45" t="s">
        <v>38</v>
      </c>
      <c r="D1373" s="46"/>
      <c r="E1373" s="47">
        <v>30000</v>
      </c>
      <c r="F1373" s="48">
        <v>7</v>
      </c>
      <c r="G1373" s="45" t="s">
        <v>3823</v>
      </c>
      <c r="H1373" s="30" t="s">
        <v>2017</v>
      </c>
      <c r="I1373" s="45" t="s">
        <v>92</v>
      </c>
      <c r="J1373" s="45" t="s">
        <v>218</v>
      </c>
      <c r="K1373" s="97" t="s">
        <v>3824</v>
      </c>
    </row>
    <row r="1374" spans="1:11" ht="45" customHeight="1">
      <c r="A1374" s="30">
        <v>105</v>
      </c>
      <c r="B1374" s="45" t="s">
        <v>643</v>
      </c>
      <c r="C1374" s="45" t="s">
        <v>38</v>
      </c>
      <c r="D1374" s="46"/>
      <c r="E1374" s="47">
        <v>80000</v>
      </c>
      <c r="F1374" s="48">
        <v>7</v>
      </c>
      <c r="G1374" s="45" t="s">
        <v>3825</v>
      </c>
      <c r="H1374" s="30" t="s">
        <v>2205</v>
      </c>
      <c r="I1374" s="45" t="s">
        <v>107</v>
      </c>
      <c r="J1374" s="45" t="s">
        <v>108</v>
      </c>
      <c r="K1374" s="97" t="s">
        <v>3826</v>
      </c>
    </row>
    <row r="1375" spans="1:11" ht="45" customHeight="1">
      <c r="A1375" s="30">
        <v>105</v>
      </c>
      <c r="B1375" s="45" t="s">
        <v>2206</v>
      </c>
      <c r="C1375" s="45" t="s">
        <v>38</v>
      </c>
      <c r="D1375" s="46"/>
      <c r="E1375" s="47">
        <v>72545</v>
      </c>
      <c r="F1375" s="48">
        <v>7</v>
      </c>
      <c r="G1375" s="45" t="s">
        <v>3827</v>
      </c>
      <c r="H1375" s="30" t="s">
        <v>2207</v>
      </c>
      <c r="I1375" s="45" t="s">
        <v>107</v>
      </c>
      <c r="J1375" s="45" t="s">
        <v>230</v>
      </c>
      <c r="K1375" s="97" t="s">
        <v>3828</v>
      </c>
    </row>
    <row r="1376" spans="1:11" ht="45" customHeight="1">
      <c r="A1376" s="30">
        <v>105</v>
      </c>
      <c r="B1376" s="45" t="s">
        <v>643</v>
      </c>
      <c r="C1376" s="45" t="s">
        <v>38</v>
      </c>
      <c r="D1376" s="46"/>
      <c r="E1376" s="47">
        <v>46500</v>
      </c>
      <c r="F1376" s="48">
        <v>7</v>
      </c>
      <c r="G1376" s="45" t="s">
        <v>3829</v>
      </c>
      <c r="H1376" s="30" t="s">
        <v>2204</v>
      </c>
      <c r="I1376" s="45" t="s">
        <v>107</v>
      </c>
      <c r="J1376" s="45" t="s">
        <v>230</v>
      </c>
      <c r="K1376" s="99" t="s">
        <v>3830</v>
      </c>
    </row>
    <row r="1377" spans="1:11" ht="45" customHeight="1">
      <c r="A1377" s="30"/>
      <c r="B1377" s="58" t="s">
        <v>5</v>
      </c>
      <c r="C1377" s="45"/>
      <c r="D1377" s="46"/>
      <c r="E1377" s="47">
        <f>SUM(E1372:E1376)</f>
        <v>299045</v>
      </c>
      <c r="F1377" s="30"/>
      <c r="G1377" s="45"/>
      <c r="H1377" s="45"/>
      <c r="I1377" s="45"/>
      <c r="J1377" s="45"/>
      <c r="K1377" s="98"/>
    </row>
    <row r="1378" spans="1:11" ht="45" customHeight="1">
      <c r="A1378" s="30"/>
      <c r="B1378" s="56" t="s">
        <v>41</v>
      </c>
      <c r="C1378" s="45"/>
      <c r="D1378" s="46"/>
      <c r="E1378" s="45"/>
      <c r="F1378" s="30"/>
      <c r="G1378" s="45"/>
      <c r="H1378" s="45"/>
      <c r="I1378" s="45"/>
      <c r="J1378" s="45"/>
      <c r="K1378" s="50"/>
    </row>
    <row r="1379" spans="1:11" ht="45" customHeight="1">
      <c r="A1379" s="30">
        <v>105</v>
      </c>
      <c r="B1379" s="45" t="s">
        <v>437</v>
      </c>
      <c r="C1379" s="45" t="s">
        <v>38</v>
      </c>
      <c r="D1379" s="46"/>
      <c r="E1379" s="47">
        <v>54000</v>
      </c>
      <c r="F1379" s="48">
        <v>7</v>
      </c>
      <c r="G1379" s="45" t="s">
        <v>2337</v>
      </c>
      <c r="H1379" s="30" t="s">
        <v>2338</v>
      </c>
      <c r="I1379" s="45" t="s">
        <v>92</v>
      </c>
      <c r="J1379" s="45" t="s">
        <v>93</v>
      </c>
      <c r="K1379" s="50" t="str">
        <f>"00028486"</f>
        <v>00028486</v>
      </c>
    </row>
    <row r="1380" spans="1:11" ht="45" customHeight="1">
      <c r="A1380" s="30">
        <v>105</v>
      </c>
      <c r="B1380" s="45" t="s">
        <v>432</v>
      </c>
      <c r="C1380" s="45" t="s">
        <v>38</v>
      </c>
      <c r="D1380" s="46"/>
      <c r="E1380" s="47">
        <v>16000</v>
      </c>
      <c r="F1380" s="48">
        <v>7</v>
      </c>
      <c r="G1380" s="45" t="s">
        <v>2337</v>
      </c>
      <c r="H1380" s="30" t="s">
        <v>2338</v>
      </c>
      <c r="I1380" s="45" t="s">
        <v>92</v>
      </c>
      <c r="J1380" s="45" t="s">
        <v>93</v>
      </c>
      <c r="K1380" s="50" t="str">
        <f>"00028486"</f>
        <v>00028486</v>
      </c>
    </row>
    <row r="1381" spans="1:11" ht="45" customHeight="1">
      <c r="A1381" s="30">
        <v>105</v>
      </c>
      <c r="B1381" s="45" t="s">
        <v>432</v>
      </c>
      <c r="C1381" s="45" t="s">
        <v>38</v>
      </c>
      <c r="D1381" s="46"/>
      <c r="E1381" s="47">
        <v>70000</v>
      </c>
      <c r="F1381" s="48">
        <v>7</v>
      </c>
      <c r="G1381" s="45" t="s">
        <v>2344</v>
      </c>
      <c r="H1381" s="30" t="s">
        <v>2338</v>
      </c>
      <c r="I1381" s="45" t="s">
        <v>92</v>
      </c>
      <c r="J1381" s="45" t="s">
        <v>93</v>
      </c>
      <c r="K1381" s="50" t="str">
        <f>"00028485"</f>
        <v>00028485</v>
      </c>
    </row>
    <row r="1382" spans="1:11" ht="45" customHeight="1">
      <c r="A1382" s="30">
        <v>105</v>
      </c>
      <c r="B1382" s="45" t="s">
        <v>2341</v>
      </c>
      <c r="C1382" s="45" t="s">
        <v>38</v>
      </c>
      <c r="D1382" s="46"/>
      <c r="E1382" s="47">
        <v>68346</v>
      </c>
      <c r="F1382" s="48">
        <v>7</v>
      </c>
      <c r="G1382" s="45" t="s">
        <v>2342</v>
      </c>
      <c r="H1382" s="30" t="s">
        <v>2343</v>
      </c>
      <c r="I1382" s="45" t="s">
        <v>92</v>
      </c>
      <c r="J1382" s="45" t="s">
        <v>110</v>
      </c>
      <c r="K1382" s="50" t="str">
        <f>"00027820"</f>
        <v>00027820</v>
      </c>
    </row>
    <row r="1383" spans="1:11" ht="45" customHeight="1">
      <c r="A1383" s="30">
        <v>105</v>
      </c>
      <c r="B1383" s="49" t="s">
        <v>1368</v>
      </c>
      <c r="C1383" s="45" t="s">
        <v>38</v>
      </c>
      <c r="D1383" s="46"/>
      <c r="E1383" s="47">
        <v>110969</v>
      </c>
      <c r="F1383" s="48">
        <v>7</v>
      </c>
      <c r="G1383" s="49" t="s">
        <v>2339</v>
      </c>
      <c r="H1383" s="30" t="s">
        <v>2340</v>
      </c>
      <c r="I1383" s="45" t="s">
        <v>92</v>
      </c>
      <c r="J1383" s="45" t="s">
        <v>691</v>
      </c>
      <c r="K1383" s="50" t="str">
        <f>"00026565"</f>
        <v>00026565</v>
      </c>
    </row>
    <row r="1384" spans="1:11" ht="45" customHeight="1">
      <c r="A1384" s="30">
        <v>105</v>
      </c>
      <c r="B1384" s="49" t="s">
        <v>430</v>
      </c>
      <c r="C1384" s="45" t="s">
        <v>38</v>
      </c>
      <c r="D1384" s="46"/>
      <c r="E1384" s="47">
        <v>120000</v>
      </c>
      <c r="F1384" s="48">
        <v>7</v>
      </c>
      <c r="G1384" s="53" t="s">
        <v>2336</v>
      </c>
      <c r="H1384" s="30" t="s">
        <v>1392</v>
      </c>
      <c r="I1384" s="51" t="s">
        <v>1393</v>
      </c>
      <c r="J1384" s="51" t="s">
        <v>1394</v>
      </c>
      <c r="K1384" s="50" t="str">
        <f>"00030026"</f>
        <v>00030026</v>
      </c>
    </row>
    <row r="1385" spans="1:11" ht="45" customHeight="1">
      <c r="A1385" s="30">
        <v>105</v>
      </c>
      <c r="B1385" s="49" t="s">
        <v>430</v>
      </c>
      <c r="C1385" s="45" t="s">
        <v>38</v>
      </c>
      <c r="D1385" s="46"/>
      <c r="E1385" s="47">
        <v>156444</v>
      </c>
      <c r="F1385" s="48">
        <v>7</v>
      </c>
      <c r="G1385" s="53" t="s">
        <v>2334</v>
      </c>
      <c r="H1385" s="30" t="s">
        <v>2335</v>
      </c>
      <c r="I1385" s="45" t="s">
        <v>154</v>
      </c>
      <c r="J1385" s="45" t="s">
        <v>155</v>
      </c>
      <c r="K1385" s="62" t="s">
        <v>3216</v>
      </c>
    </row>
    <row r="1386" spans="1:11" ht="45" customHeight="1">
      <c r="A1386" s="30">
        <v>105</v>
      </c>
      <c r="B1386" s="45" t="s">
        <v>1372</v>
      </c>
      <c r="C1386" s="45" t="s">
        <v>38</v>
      </c>
      <c r="D1386" s="46"/>
      <c r="E1386" s="47">
        <v>147850</v>
      </c>
      <c r="F1386" s="48">
        <v>7</v>
      </c>
      <c r="G1386" s="45" t="s">
        <v>2332</v>
      </c>
      <c r="H1386" s="30" t="s">
        <v>2333</v>
      </c>
      <c r="I1386" s="45" t="s">
        <v>107</v>
      </c>
      <c r="J1386" s="45" t="s">
        <v>62</v>
      </c>
      <c r="K1386" s="50" t="str">
        <f>"00026739"</f>
        <v>00026739</v>
      </c>
    </row>
    <row r="1387" spans="1:11" ht="45" customHeight="1">
      <c r="A1387" s="30">
        <v>105</v>
      </c>
      <c r="B1387" s="45" t="s">
        <v>3268</v>
      </c>
      <c r="C1387" s="45" t="s">
        <v>38</v>
      </c>
      <c r="D1387" s="46"/>
      <c r="E1387" s="47">
        <v>49600</v>
      </c>
      <c r="F1387" s="48">
        <v>7</v>
      </c>
      <c r="G1387" s="45" t="s">
        <v>3212</v>
      </c>
      <c r="H1387" s="30" t="s">
        <v>1419</v>
      </c>
      <c r="I1387" s="49" t="s">
        <v>1420</v>
      </c>
      <c r="J1387" s="49" t="s">
        <v>1421</v>
      </c>
      <c r="K1387" s="50" t="str">
        <f>"00029287"</f>
        <v>00029287</v>
      </c>
    </row>
    <row r="1388" spans="1:11" ht="45" customHeight="1">
      <c r="A1388" s="30"/>
      <c r="B1388" s="58" t="s">
        <v>50</v>
      </c>
      <c r="C1388" s="45"/>
      <c r="D1388" s="46"/>
      <c r="E1388" s="47">
        <f>SUM(E1379:E1387)</f>
        <v>793209</v>
      </c>
      <c r="F1388" s="30"/>
      <c r="G1388" s="45"/>
      <c r="H1388" s="45"/>
      <c r="I1388" s="45"/>
      <c r="J1388" s="45"/>
      <c r="K1388" s="98"/>
    </row>
    <row r="1389" spans="1:11" ht="45" customHeight="1">
      <c r="A1389" s="30"/>
      <c r="B1389" s="56" t="s">
        <v>7</v>
      </c>
      <c r="C1389" s="45"/>
      <c r="D1389" s="46"/>
      <c r="E1389" s="45"/>
      <c r="F1389" s="30"/>
      <c r="G1389" s="45"/>
      <c r="H1389" s="45"/>
      <c r="I1389" s="45"/>
      <c r="J1389" s="45"/>
      <c r="K1389" s="93"/>
    </row>
    <row r="1390" spans="1:11" ht="45" customHeight="1">
      <c r="A1390" s="30">
        <v>105</v>
      </c>
      <c r="B1390" s="45" t="s">
        <v>278</v>
      </c>
      <c r="C1390" s="45" t="s">
        <v>38</v>
      </c>
      <c r="D1390" s="46"/>
      <c r="E1390" s="47">
        <v>55517</v>
      </c>
      <c r="F1390" s="48">
        <v>7</v>
      </c>
      <c r="G1390" s="45" t="s">
        <v>2317</v>
      </c>
      <c r="H1390" s="30" t="s">
        <v>2318</v>
      </c>
      <c r="I1390" s="45" t="s">
        <v>92</v>
      </c>
      <c r="J1390" s="45" t="s">
        <v>2319</v>
      </c>
      <c r="K1390" s="50" t="str">
        <f>"00028393"</f>
        <v>00028393</v>
      </c>
    </row>
    <row r="1391" spans="1:11" ht="45" customHeight="1">
      <c r="A1391" s="30">
        <v>105</v>
      </c>
      <c r="B1391" s="45" t="s">
        <v>2323</v>
      </c>
      <c r="C1391" s="45" t="s">
        <v>38</v>
      </c>
      <c r="D1391" s="46"/>
      <c r="E1391" s="47">
        <v>118239</v>
      </c>
      <c r="F1391" s="48">
        <v>7</v>
      </c>
      <c r="G1391" s="49" t="s">
        <v>2324</v>
      </c>
      <c r="H1391" s="30" t="s">
        <v>2016</v>
      </c>
      <c r="I1391" s="45" t="s">
        <v>107</v>
      </c>
      <c r="J1391" s="45" t="s">
        <v>2325</v>
      </c>
      <c r="K1391" s="50" t="str">
        <f>"00027347"</f>
        <v>00027347</v>
      </c>
    </row>
    <row r="1392" spans="1:11" ht="45" customHeight="1">
      <c r="A1392" s="30">
        <v>105</v>
      </c>
      <c r="B1392" s="45" t="s">
        <v>49</v>
      </c>
      <c r="C1392" s="45" t="s">
        <v>38</v>
      </c>
      <c r="D1392" s="46"/>
      <c r="E1392" s="47">
        <v>24836</v>
      </c>
      <c r="F1392" s="48">
        <v>7</v>
      </c>
      <c r="G1392" s="45" t="s">
        <v>2320</v>
      </c>
      <c r="H1392" s="30" t="s">
        <v>2321</v>
      </c>
      <c r="I1392" s="45" t="s">
        <v>111</v>
      </c>
      <c r="J1392" s="45" t="s">
        <v>2322</v>
      </c>
      <c r="K1392" s="50" t="str">
        <f>"00028324"</f>
        <v>00028324</v>
      </c>
    </row>
    <row r="1393" spans="1:11" ht="45" customHeight="1">
      <c r="A1393" s="30">
        <v>105</v>
      </c>
      <c r="B1393" s="45" t="s">
        <v>2326</v>
      </c>
      <c r="C1393" s="45" t="s">
        <v>38</v>
      </c>
      <c r="D1393" s="46"/>
      <c r="E1393" s="47">
        <v>111638</v>
      </c>
      <c r="F1393" s="48">
        <v>7</v>
      </c>
      <c r="G1393" s="51" t="s">
        <v>2327</v>
      </c>
      <c r="H1393" s="30" t="s">
        <v>2328</v>
      </c>
      <c r="I1393" s="45" t="s">
        <v>150</v>
      </c>
      <c r="J1393" s="45" t="s">
        <v>151</v>
      </c>
      <c r="K1393" s="50" t="str">
        <f>"00029049"</f>
        <v>00029049</v>
      </c>
    </row>
    <row r="1394" spans="1:11" ht="45" customHeight="1">
      <c r="A1394" s="30">
        <v>105</v>
      </c>
      <c r="B1394" s="45" t="s">
        <v>2313</v>
      </c>
      <c r="C1394" s="45" t="s">
        <v>38</v>
      </c>
      <c r="D1394" s="46"/>
      <c r="E1394" s="47">
        <v>44000</v>
      </c>
      <c r="F1394" s="48">
        <v>7</v>
      </c>
      <c r="G1394" s="45" t="s">
        <v>2314</v>
      </c>
      <c r="H1394" s="30" t="s">
        <v>2315</v>
      </c>
      <c r="I1394" s="45" t="s">
        <v>392</v>
      </c>
      <c r="J1394" s="45" t="s">
        <v>2316</v>
      </c>
      <c r="K1394" s="50" t="str">
        <f>"00032786"</f>
        <v>00032786</v>
      </c>
    </row>
    <row r="1395" spans="1:11" ht="45" customHeight="1">
      <c r="A1395" s="30">
        <v>105</v>
      </c>
      <c r="B1395" s="45" t="s">
        <v>2329</v>
      </c>
      <c r="C1395" s="45" t="s">
        <v>38</v>
      </c>
      <c r="D1395" s="46"/>
      <c r="E1395" s="47">
        <v>72097</v>
      </c>
      <c r="F1395" s="48">
        <v>7</v>
      </c>
      <c r="G1395" s="45" t="s">
        <v>2330</v>
      </c>
      <c r="H1395" s="30" t="s">
        <v>2331</v>
      </c>
      <c r="I1395" s="45" t="s">
        <v>92</v>
      </c>
      <c r="J1395" s="45" t="s">
        <v>110</v>
      </c>
      <c r="K1395" s="50" t="str">
        <f>"00031066"</f>
        <v>00031066</v>
      </c>
    </row>
    <row r="1396" spans="1:11" ht="45" customHeight="1">
      <c r="A1396" s="30">
        <v>105</v>
      </c>
      <c r="B1396" s="45" t="s">
        <v>3365</v>
      </c>
      <c r="C1396" s="45" t="s">
        <v>38</v>
      </c>
      <c r="D1396" s="46"/>
      <c r="E1396" s="47">
        <v>498921</v>
      </c>
      <c r="F1396" s="48">
        <v>7</v>
      </c>
      <c r="G1396" s="45" t="s">
        <v>3366</v>
      </c>
      <c r="H1396" s="30" t="s">
        <v>3367</v>
      </c>
      <c r="I1396" s="45" t="s">
        <v>1335</v>
      </c>
      <c r="J1396" s="45" t="s">
        <v>3368</v>
      </c>
      <c r="K1396" s="50" t="str">
        <f>"00031577"</f>
        <v>00031577</v>
      </c>
    </row>
    <row r="1397" spans="1:11" ht="45" customHeight="1">
      <c r="A1397" s="30">
        <v>105</v>
      </c>
      <c r="B1397" s="45" t="s">
        <v>3365</v>
      </c>
      <c r="C1397" s="45" t="s">
        <v>38</v>
      </c>
      <c r="D1397" s="46"/>
      <c r="E1397" s="47">
        <v>13337</v>
      </c>
      <c r="F1397" s="48">
        <v>7</v>
      </c>
      <c r="G1397" s="45" t="s">
        <v>3366</v>
      </c>
      <c r="H1397" s="30" t="s">
        <v>3367</v>
      </c>
      <c r="I1397" s="45" t="s">
        <v>1335</v>
      </c>
      <c r="J1397" s="45" t="s">
        <v>3368</v>
      </c>
      <c r="K1397" s="62" t="s">
        <v>3369</v>
      </c>
    </row>
    <row r="1398" spans="1:11" ht="45" customHeight="1">
      <c r="A1398" s="30"/>
      <c r="B1398" s="58" t="s">
        <v>121</v>
      </c>
      <c r="C1398" s="45"/>
      <c r="D1398" s="46"/>
      <c r="E1398" s="47">
        <f>SUM(E1390:E1397)</f>
        <v>938585</v>
      </c>
      <c r="F1398" s="48"/>
      <c r="G1398" s="45"/>
      <c r="H1398" s="30"/>
      <c r="I1398" s="45"/>
      <c r="J1398" s="45"/>
      <c r="K1398" s="50"/>
    </row>
    <row r="1399" spans="1:11" ht="45" customHeight="1">
      <c r="A1399" s="30"/>
      <c r="B1399" s="60" t="s">
        <v>632</v>
      </c>
      <c r="C1399" s="45"/>
      <c r="D1399" s="46"/>
      <c r="E1399" s="47"/>
      <c r="F1399" s="48"/>
      <c r="G1399" s="45"/>
      <c r="H1399" s="30"/>
      <c r="I1399" s="45"/>
      <c r="J1399" s="45"/>
      <c r="K1399" s="50"/>
    </row>
    <row r="1400" spans="1:11" ht="45" customHeight="1">
      <c r="A1400" s="30">
        <v>105</v>
      </c>
      <c r="B1400" s="49" t="s">
        <v>2345</v>
      </c>
      <c r="C1400" s="45" t="s">
        <v>38</v>
      </c>
      <c r="D1400" s="46"/>
      <c r="E1400" s="47">
        <v>53397</v>
      </c>
      <c r="F1400" s="48">
        <v>7</v>
      </c>
      <c r="G1400" s="45" t="s">
        <v>2346</v>
      </c>
      <c r="H1400" s="30" t="s">
        <v>2347</v>
      </c>
      <c r="I1400" s="45" t="s">
        <v>392</v>
      </c>
      <c r="J1400" s="45" t="s">
        <v>393</v>
      </c>
      <c r="K1400" s="54" t="s">
        <v>3260</v>
      </c>
    </row>
    <row r="1401" spans="1:11" ht="45" customHeight="1">
      <c r="A1401" s="30">
        <v>105</v>
      </c>
      <c r="B1401" s="49" t="s">
        <v>2345</v>
      </c>
      <c r="C1401" s="45" t="s">
        <v>38</v>
      </c>
      <c r="D1401" s="46"/>
      <c r="E1401" s="47">
        <v>50340</v>
      </c>
      <c r="F1401" s="48">
        <v>7</v>
      </c>
      <c r="G1401" s="49" t="s">
        <v>2348</v>
      </c>
      <c r="H1401" s="30" t="s">
        <v>2349</v>
      </c>
      <c r="I1401" s="45" t="s">
        <v>291</v>
      </c>
      <c r="J1401" s="49" t="s">
        <v>2350</v>
      </c>
      <c r="K1401" s="61" t="s">
        <v>3259</v>
      </c>
    </row>
    <row r="1402" spans="1:11" ht="45" customHeight="1">
      <c r="A1402" s="31"/>
      <c r="B1402" s="58" t="s">
        <v>631</v>
      </c>
      <c r="C1402" s="31"/>
      <c r="D1402" s="31"/>
      <c r="E1402" s="47">
        <f>SUM(E1400:E1401)</f>
        <v>103737</v>
      </c>
      <c r="F1402" s="31"/>
      <c r="G1402" s="31"/>
      <c r="H1402" s="31"/>
      <c r="I1402" s="31"/>
      <c r="J1402" s="31"/>
      <c r="K1402" s="86"/>
    </row>
    <row r="1403" spans="1:11" ht="45" customHeight="1">
      <c r="A1403" s="30"/>
      <c r="B1403" s="60" t="s">
        <v>143</v>
      </c>
      <c r="C1403" s="45"/>
      <c r="D1403" s="46"/>
      <c r="E1403" s="47"/>
      <c r="F1403" s="48"/>
      <c r="G1403" s="45"/>
      <c r="H1403" s="30"/>
      <c r="I1403" s="45"/>
      <c r="J1403" s="45"/>
      <c r="K1403" s="93"/>
    </row>
    <row r="1404" spans="1:11" ht="45" customHeight="1">
      <c r="A1404" s="30">
        <v>105</v>
      </c>
      <c r="B1404" s="51" t="s">
        <v>147</v>
      </c>
      <c r="C1404" s="45" t="s">
        <v>38</v>
      </c>
      <c r="D1404" s="46"/>
      <c r="E1404" s="47">
        <v>53533</v>
      </c>
      <c r="F1404" s="48">
        <v>7</v>
      </c>
      <c r="G1404" s="45" t="s">
        <v>2216</v>
      </c>
      <c r="H1404" s="30" t="s">
        <v>2217</v>
      </c>
      <c r="I1404" s="45" t="s">
        <v>392</v>
      </c>
      <c r="J1404" s="45" t="s">
        <v>2218</v>
      </c>
      <c r="K1404" s="50" t="str">
        <f>"00027618"</f>
        <v>00027618</v>
      </c>
    </row>
    <row r="1405" spans="1:11" ht="45" customHeight="1">
      <c r="A1405" s="30">
        <v>105</v>
      </c>
      <c r="B1405" s="45" t="s">
        <v>157</v>
      </c>
      <c r="C1405" s="45" t="s">
        <v>38</v>
      </c>
      <c r="D1405" s="46"/>
      <c r="E1405" s="47">
        <v>129317</v>
      </c>
      <c r="F1405" s="48">
        <v>7</v>
      </c>
      <c r="G1405" s="45" t="s">
        <v>2227</v>
      </c>
      <c r="H1405" s="30" t="s">
        <v>2228</v>
      </c>
      <c r="I1405" s="45" t="s">
        <v>2229</v>
      </c>
      <c r="J1405" s="45" t="s">
        <v>2230</v>
      </c>
      <c r="K1405" s="50" t="str">
        <f>"00026774"</f>
        <v>00026774</v>
      </c>
    </row>
    <row r="1406" spans="1:11" ht="45" customHeight="1">
      <c r="A1406" s="30">
        <v>105</v>
      </c>
      <c r="B1406" s="51" t="s">
        <v>163</v>
      </c>
      <c r="C1406" s="45" t="s">
        <v>38</v>
      </c>
      <c r="D1406" s="46"/>
      <c r="E1406" s="47">
        <v>37399</v>
      </c>
      <c r="F1406" s="48">
        <v>7</v>
      </c>
      <c r="G1406" s="53" t="s">
        <v>2225</v>
      </c>
      <c r="H1406" s="30" t="s">
        <v>950</v>
      </c>
      <c r="I1406" s="45" t="s">
        <v>165</v>
      </c>
      <c r="J1406" s="49" t="s">
        <v>2226</v>
      </c>
      <c r="K1406" s="50" t="str">
        <f>"00027294"</f>
        <v>00027294</v>
      </c>
    </row>
    <row r="1407" spans="1:11" ht="45" customHeight="1">
      <c r="A1407" s="30">
        <v>105</v>
      </c>
      <c r="B1407" s="51" t="s">
        <v>1114</v>
      </c>
      <c r="C1407" s="45" t="s">
        <v>38</v>
      </c>
      <c r="D1407" s="46"/>
      <c r="E1407" s="47">
        <v>54953</v>
      </c>
      <c r="F1407" s="48">
        <v>7</v>
      </c>
      <c r="G1407" s="45" t="s">
        <v>160</v>
      </c>
      <c r="H1407" s="30" t="s">
        <v>2219</v>
      </c>
      <c r="I1407" s="45" t="s">
        <v>161</v>
      </c>
      <c r="J1407" s="45" t="s">
        <v>2220</v>
      </c>
      <c r="K1407" s="50" t="str">
        <f>"00027412"</f>
        <v>00027412</v>
      </c>
    </row>
    <row r="1408" spans="1:11" ht="45" customHeight="1">
      <c r="A1408" s="30">
        <v>105</v>
      </c>
      <c r="B1408" s="51" t="s">
        <v>1114</v>
      </c>
      <c r="C1408" s="45" t="s">
        <v>38</v>
      </c>
      <c r="D1408" s="46"/>
      <c r="E1408" s="47">
        <v>54953</v>
      </c>
      <c r="F1408" s="48">
        <v>7</v>
      </c>
      <c r="G1408" s="45" t="s">
        <v>160</v>
      </c>
      <c r="H1408" s="30" t="s">
        <v>2219</v>
      </c>
      <c r="I1408" s="45" t="s">
        <v>161</v>
      </c>
      <c r="J1408" s="45" t="s">
        <v>2220</v>
      </c>
      <c r="K1408" s="50" t="str">
        <f>"00027411"</f>
        <v>00027411</v>
      </c>
    </row>
    <row r="1409" spans="1:11" ht="45" customHeight="1">
      <c r="A1409" s="30">
        <v>105</v>
      </c>
      <c r="B1409" s="45" t="s">
        <v>2221</v>
      </c>
      <c r="C1409" s="45" t="s">
        <v>38</v>
      </c>
      <c r="D1409" s="46"/>
      <c r="E1409" s="47">
        <v>96903</v>
      </c>
      <c r="F1409" s="48">
        <v>7</v>
      </c>
      <c r="G1409" s="45" t="s">
        <v>2222</v>
      </c>
      <c r="H1409" s="30" t="s">
        <v>2223</v>
      </c>
      <c r="I1409" s="45" t="s">
        <v>104</v>
      </c>
      <c r="J1409" s="45" t="s">
        <v>2224</v>
      </c>
      <c r="K1409" s="50" t="str">
        <f>"00027200"</f>
        <v>00027200</v>
      </c>
    </row>
    <row r="1410" spans="1:11" ht="45" customHeight="1">
      <c r="A1410" s="30">
        <v>105</v>
      </c>
      <c r="B1410" s="45" t="s">
        <v>1098</v>
      </c>
      <c r="C1410" s="45" t="s">
        <v>38</v>
      </c>
      <c r="D1410" s="46"/>
      <c r="E1410" s="47">
        <v>120000</v>
      </c>
      <c r="F1410" s="48">
        <v>7</v>
      </c>
      <c r="G1410" s="45" t="s">
        <v>2208</v>
      </c>
      <c r="H1410" s="30" t="s">
        <v>2209</v>
      </c>
      <c r="I1410" s="45" t="s">
        <v>92</v>
      </c>
      <c r="J1410" s="45" t="s">
        <v>156</v>
      </c>
      <c r="K1410" s="50" t="str">
        <f>"00027927"</f>
        <v>00027927</v>
      </c>
    </row>
    <row r="1411" spans="1:11" ht="45" customHeight="1">
      <c r="A1411" s="30">
        <v>105</v>
      </c>
      <c r="B1411" s="51" t="s">
        <v>163</v>
      </c>
      <c r="C1411" s="45" t="s">
        <v>38</v>
      </c>
      <c r="D1411" s="46"/>
      <c r="E1411" s="47">
        <v>37754</v>
      </c>
      <c r="F1411" s="48">
        <v>7</v>
      </c>
      <c r="G1411" s="53" t="s">
        <v>2225</v>
      </c>
      <c r="H1411" s="30" t="s">
        <v>950</v>
      </c>
      <c r="I1411" s="45" t="s">
        <v>165</v>
      </c>
      <c r="J1411" s="49" t="s">
        <v>2226</v>
      </c>
      <c r="K1411" s="50" t="str">
        <f>"00027293"</f>
        <v>00027293</v>
      </c>
    </row>
    <row r="1412" spans="1:11" ht="45" customHeight="1">
      <c r="A1412" s="30">
        <v>105</v>
      </c>
      <c r="B1412" s="45" t="s">
        <v>60</v>
      </c>
      <c r="C1412" s="45" t="s">
        <v>38</v>
      </c>
      <c r="D1412" s="46"/>
      <c r="E1412" s="47">
        <v>89150</v>
      </c>
      <c r="F1412" s="48">
        <v>7</v>
      </c>
      <c r="G1412" s="45" t="s">
        <v>61</v>
      </c>
      <c r="H1412" s="30" t="s">
        <v>1669</v>
      </c>
      <c r="I1412" s="45" t="s">
        <v>161</v>
      </c>
      <c r="J1412" s="45" t="s">
        <v>162</v>
      </c>
      <c r="K1412" s="50" t="str">
        <f>"00028466"</f>
        <v>00028466</v>
      </c>
    </row>
    <row r="1413" spans="1:11" ht="45" customHeight="1">
      <c r="A1413" s="30">
        <v>105</v>
      </c>
      <c r="B1413" s="51" t="s">
        <v>163</v>
      </c>
      <c r="C1413" s="45" t="s">
        <v>38</v>
      </c>
      <c r="D1413" s="46"/>
      <c r="E1413" s="47">
        <v>37764</v>
      </c>
      <c r="F1413" s="48">
        <v>7</v>
      </c>
      <c r="G1413" s="53" t="s">
        <v>2225</v>
      </c>
      <c r="H1413" s="30" t="s">
        <v>950</v>
      </c>
      <c r="I1413" s="45" t="s">
        <v>165</v>
      </c>
      <c r="J1413" s="49" t="s">
        <v>2226</v>
      </c>
      <c r="K1413" s="50" t="str">
        <f>"00027291"</f>
        <v>00027291</v>
      </c>
    </row>
    <row r="1414" spans="1:11" ht="45" customHeight="1">
      <c r="A1414" s="30">
        <v>105</v>
      </c>
      <c r="B1414" s="51" t="s">
        <v>163</v>
      </c>
      <c r="C1414" s="45" t="s">
        <v>38</v>
      </c>
      <c r="D1414" s="46"/>
      <c r="E1414" s="47">
        <v>37787</v>
      </c>
      <c r="F1414" s="48">
        <v>7</v>
      </c>
      <c r="G1414" s="45" t="s">
        <v>164</v>
      </c>
      <c r="H1414" s="30" t="s">
        <v>950</v>
      </c>
      <c r="I1414" s="45" t="s">
        <v>165</v>
      </c>
      <c r="J1414" s="49" t="s">
        <v>2226</v>
      </c>
      <c r="K1414" s="50" t="str">
        <f>"00027289"</f>
        <v>00027289</v>
      </c>
    </row>
    <row r="1415" spans="1:11" ht="45" customHeight="1">
      <c r="A1415" s="30">
        <v>105</v>
      </c>
      <c r="B1415" s="51" t="s">
        <v>163</v>
      </c>
      <c r="C1415" s="45" t="s">
        <v>38</v>
      </c>
      <c r="D1415" s="46"/>
      <c r="E1415" s="47">
        <v>38139</v>
      </c>
      <c r="F1415" s="48">
        <v>7</v>
      </c>
      <c r="G1415" s="45" t="s">
        <v>164</v>
      </c>
      <c r="H1415" s="30" t="s">
        <v>950</v>
      </c>
      <c r="I1415" s="45" t="s">
        <v>165</v>
      </c>
      <c r="J1415" s="45" t="s">
        <v>2231</v>
      </c>
      <c r="K1415" s="50" t="str">
        <f>"00027268"</f>
        <v>00027268</v>
      </c>
    </row>
    <row r="1416" spans="1:11" ht="45" customHeight="1">
      <c r="A1416" s="30">
        <v>105</v>
      </c>
      <c r="B1416" s="49" t="s">
        <v>6</v>
      </c>
      <c r="C1416" s="45" t="s">
        <v>38</v>
      </c>
      <c r="D1416" s="46"/>
      <c r="E1416" s="47">
        <v>32017</v>
      </c>
      <c r="F1416" s="48">
        <v>7</v>
      </c>
      <c r="G1416" s="45" t="s">
        <v>2210</v>
      </c>
      <c r="H1416" s="30" t="s">
        <v>2211</v>
      </c>
      <c r="I1416" s="45" t="s">
        <v>92</v>
      </c>
      <c r="J1416" s="45" t="s">
        <v>2212</v>
      </c>
      <c r="K1416" s="50" t="str">
        <f>"00028863"</f>
        <v>00028863</v>
      </c>
    </row>
    <row r="1417" spans="1:11" ht="45" customHeight="1">
      <c r="A1417" s="30">
        <v>105</v>
      </c>
      <c r="B1417" s="45" t="s">
        <v>2213</v>
      </c>
      <c r="C1417" s="45" t="s">
        <v>38</v>
      </c>
      <c r="D1417" s="46"/>
      <c r="E1417" s="47">
        <v>45448</v>
      </c>
      <c r="F1417" s="48">
        <v>7</v>
      </c>
      <c r="G1417" s="45" t="s">
        <v>2214</v>
      </c>
      <c r="H1417" s="30" t="s">
        <v>2215</v>
      </c>
      <c r="I1417" s="45" t="s">
        <v>152</v>
      </c>
      <c r="J1417" s="45" t="s">
        <v>153</v>
      </c>
      <c r="K1417" s="50" t="str">
        <f>"00028284"</f>
        <v>00028284</v>
      </c>
    </row>
    <row r="1418" spans="1:11" ht="45" customHeight="1">
      <c r="A1418" s="30">
        <v>105</v>
      </c>
      <c r="B1418" s="45" t="s">
        <v>60</v>
      </c>
      <c r="C1418" s="45" t="s">
        <v>38</v>
      </c>
      <c r="D1418" s="46"/>
      <c r="E1418" s="47">
        <v>100959</v>
      </c>
      <c r="F1418" s="48">
        <v>7</v>
      </c>
      <c r="G1418" s="45" t="s">
        <v>61</v>
      </c>
      <c r="H1418" s="30" t="s">
        <v>1669</v>
      </c>
      <c r="I1418" s="45" t="s">
        <v>161</v>
      </c>
      <c r="J1418" s="51" t="s">
        <v>2249</v>
      </c>
      <c r="K1418" s="50" t="str">
        <f>"00028477"</f>
        <v>00028477</v>
      </c>
    </row>
    <row r="1419" spans="1:11" ht="45" customHeight="1">
      <c r="A1419" s="30">
        <v>105</v>
      </c>
      <c r="B1419" s="45" t="s">
        <v>170</v>
      </c>
      <c r="C1419" s="45" t="s">
        <v>38</v>
      </c>
      <c r="D1419" s="46"/>
      <c r="E1419" s="47">
        <v>8338</v>
      </c>
      <c r="F1419" s="48">
        <v>7</v>
      </c>
      <c r="G1419" s="45" t="s">
        <v>2250</v>
      </c>
      <c r="H1419" s="30" t="s">
        <v>2251</v>
      </c>
      <c r="I1419" s="45" t="s">
        <v>120</v>
      </c>
      <c r="J1419" s="45" t="s">
        <v>120</v>
      </c>
      <c r="K1419" s="50" t="str">
        <f>"00028050"</f>
        <v>00028050</v>
      </c>
    </row>
    <row r="1420" spans="1:11" ht="45" customHeight="1">
      <c r="A1420" s="30">
        <v>105</v>
      </c>
      <c r="B1420" s="51" t="s">
        <v>148</v>
      </c>
      <c r="C1420" s="45" t="s">
        <v>38</v>
      </c>
      <c r="D1420" s="46"/>
      <c r="E1420" s="47">
        <v>94877</v>
      </c>
      <c r="F1420" s="48">
        <v>7</v>
      </c>
      <c r="G1420" s="45" t="s">
        <v>2254</v>
      </c>
      <c r="H1420" s="30" t="s">
        <v>2255</v>
      </c>
      <c r="I1420" s="45" t="s">
        <v>94</v>
      </c>
      <c r="J1420" s="45" t="s">
        <v>650</v>
      </c>
      <c r="K1420" s="50" t="str">
        <f>"00030599"</f>
        <v>00030599</v>
      </c>
    </row>
    <row r="1421" spans="1:11" ht="45" customHeight="1">
      <c r="A1421" s="30">
        <v>105</v>
      </c>
      <c r="B1421" s="45" t="s">
        <v>2235</v>
      </c>
      <c r="C1421" s="45" t="s">
        <v>38</v>
      </c>
      <c r="D1421" s="46"/>
      <c r="E1421" s="47">
        <v>5123</v>
      </c>
      <c r="F1421" s="48">
        <v>7</v>
      </c>
      <c r="G1421" s="45" t="s">
        <v>2254</v>
      </c>
      <c r="H1421" s="30" t="s">
        <v>2255</v>
      </c>
      <c r="I1421" s="45" t="s">
        <v>94</v>
      </c>
      <c r="J1421" s="45" t="s">
        <v>650</v>
      </c>
      <c r="K1421" s="50" t="str">
        <f>"00030599"</f>
        <v>00030599</v>
      </c>
    </row>
    <row r="1422" spans="1:11" ht="45" customHeight="1">
      <c r="A1422" s="30">
        <v>105</v>
      </c>
      <c r="B1422" s="51" t="s">
        <v>148</v>
      </c>
      <c r="C1422" s="45" t="s">
        <v>38</v>
      </c>
      <c r="D1422" s="46"/>
      <c r="E1422" s="47">
        <v>100000</v>
      </c>
      <c r="F1422" s="48">
        <v>7</v>
      </c>
      <c r="G1422" s="45" t="s">
        <v>2256</v>
      </c>
      <c r="H1422" s="30" t="s">
        <v>2255</v>
      </c>
      <c r="I1422" s="45" t="s">
        <v>94</v>
      </c>
      <c r="J1422" s="45" t="s">
        <v>650</v>
      </c>
      <c r="K1422" s="50" t="str">
        <f>"00030359"</f>
        <v>00030359</v>
      </c>
    </row>
    <row r="1423" spans="1:11" ht="45" customHeight="1">
      <c r="A1423" s="30">
        <v>105</v>
      </c>
      <c r="B1423" s="45" t="s">
        <v>157</v>
      </c>
      <c r="C1423" s="45" t="s">
        <v>38</v>
      </c>
      <c r="D1423" s="46"/>
      <c r="E1423" s="47">
        <v>140802</v>
      </c>
      <c r="F1423" s="48">
        <v>7</v>
      </c>
      <c r="G1423" s="45" t="s">
        <v>2252</v>
      </c>
      <c r="H1423" s="30" t="s">
        <v>2253</v>
      </c>
      <c r="I1423" s="45" t="s">
        <v>96</v>
      </c>
      <c r="J1423" s="45" t="s">
        <v>97</v>
      </c>
      <c r="K1423" s="50" t="str">
        <f>"00028835"</f>
        <v>00028835</v>
      </c>
    </row>
    <row r="1424" spans="1:11" ht="45" customHeight="1">
      <c r="A1424" s="30">
        <v>105</v>
      </c>
      <c r="B1424" s="45" t="s">
        <v>2239</v>
      </c>
      <c r="C1424" s="45" t="s">
        <v>38</v>
      </c>
      <c r="D1424" s="46"/>
      <c r="E1424" s="47">
        <v>47123</v>
      </c>
      <c r="F1424" s="48">
        <v>7</v>
      </c>
      <c r="G1424" s="55" t="s">
        <v>2257</v>
      </c>
      <c r="H1424" s="30" t="s">
        <v>1998</v>
      </c>
      <c r="I1424" s="45" t="s">
        <v>107</v>
      </c>
      <c r="J1424" s="45" t="s">
        <v>2258</v>
      </c>
      <c r="K1424" s="50" t="str">
        <f>"00030908"</f>
        <v>00030908</v>
      </c>
    </row>
    <row r="1425" spans="1:11" ht="45" customHeight="1">
      <c r="A1425" s="30">
        <v>105</v>
      </c>
      <c r="B1425" s="45" t="s">
        <v>1133</v>
      </c>
      <c r="C1425" s="45" t="s">
        <v>38</v>
      </c>
      <c r="D1425" s="46"/>
      <c r="E1425" s="47">
        <v>34946</v>
      </c>
      <c r="F1425" s="48">
        <v>7</v>
      </c>
      <c r="G1425" s="55" t="s">
        <v>2259</v>
      </c>
      <c r="H1425" s="30" t="s">
        <v>1037</v>
      </c>
      <c r="I1425" s="45" t="s">
        <v>100</v>
      </c>
      <c r="J1425" s="45" t="s">
        <v>2260</v>
      </c>
      <c r="K1425" s="50" t="str">
        <f>"00030936"</f>
        <v>00030936</v>
      </c>
    </row>
    <row r="1426" spans="1:11" ht="45" customHeight="1">
      <c r="A1426" s="30">
        <v>105</v>
      </c>
      <c r="B1426" s="45" t="s">
        <v>1133</v>
      </c>
      <c r="C1426" s="45" t="s">
        <v>38</v>
      </c>
      <c r="D1426" s="46"/>
      <c r="E1426" s="47">
        <v>34858</v>
      </c>
      <c r="F1426" s="48">
        <v>7</v>
      </c>
      <c r="G1426" s="55" t="s">
        <v>2259</v>
      </c>
      <c r="H1426" s="30" t="s">
        <v>1037</v>
      </c>
      <c r="I1426" s="45" t="s">
        <v>100</v>
      </c>
      <c r="J1426" s="45" t="s">
        <v>2260</v>
      </c>
      <c r="K1426" s="50" t="str">
        <f>"00030943"</f>
        <v>00030943</v>
      </c>
    </row>
    <row r="1427" spans="1:11" ht="45" customHeight="1">
      <c r="A1427" s="30">
        <v>105</v>
      </c>
      <c r="B1427" s="45" t="s">
        <v>1133</v>
      </c>
      <c r="C1427" s="45" t="s">
        <v>38</v>
      </c>
      <c r="D1427" s="46"/>
      <c r="E1427" s="47">
        <v>28534</v>
      </c>
      <c r="F1427" s="48">
        <v>7</v>
      </c>
      <c r="G1427" s="55" t="s">
        <v>2259</v>
      </c>
      <c r="H1427" s="30" t="s">
        <v>2269</v>
      </c>
      <c r="I1427" s="45" t="s">
        <v>100</v>
      </c>
      <c r="J1427" s="45" t="s">
        <v>2260</v>
      </c>
      <c r="K1427" s="50" t="str">
        <f>"00030905"</f>
        <v>00030905</v>
      </c>
    </row>
    <row r="1428" spans="1:11" ht="45" customHeight="1">
      <c r="A1428" s="30">
        <v>105</v>
      </c>
      <c r="B1428" s="45" t="s">
        <v>1133</v>
      </c>
      <c r="C1428" s="45" t="s">
        <v>38</v>
      </c>
      <c r="D1428" s="46"/>
      <c r="E1428" s="47">
        <v>28534</v>
      </c>
      <c r="F1428" s="48">
        <v>7</v>
      </c>
      <c r="G1428" s="55" t="s">
        <v>2259</v>
      </c>
      <c r="H1428" s="30" t="s">
        <v>2269</v>
      </c>
      <c r="I1428" s="45" t="s">
        <v>100</v>
      </c>
      <c r="J1428" s="45" t="s">
        <v>2260</v>
      </c>
      <c r="K1428" s="50" t="str">
        <f>"00030911"</f>
        <v>00030911</v>
      </c>
    </row>
    <row r="1429" spans="1:11" ht="45" customHeight="1">
      <c r="A1429" s="30">
        <v>105</v>
      </c>
      <c r="B1429" s="45" t="s">
        <v>1133</v>
      </c>
      <c r="C1429" s="45" t="s">
        <v>38</v>
      </c>
      <c r="D1429" s="46"/>
      <c r="E1429" s="47">
        <v>35221</v>
      </c>
      <c r="F1429" s="48">
        <v>7</v>
      </c>
      <c r="G1429" s="55" t="s">
        <v>2259</v>
      </c>
      <c r="H1429" s="30" t="s">
        <v>1037</v>
      </c>
      <c r="I1429" s="45" t="s">
        <v>100</v>
      </c>
      <c r="J1429" s="45" t="s">
        <v>2260</v>
      </c>
      <c r="K1429" s="50" t="str">
        <f>"00030934"</f>
        <v>00030934</v>
      </c>
    </row>
    <row r="1430" spans="1:11" ht="45" customHeight="1">
      <c r="A1430" s="30">
        <v>105</v>
      </c>
      <c r="B1430" s="45" t="s">
        <v>1133</v>
      </c>
      <c r="C1430" s="45" t="s">
        <v>38</v>
      </c>
      <c r="D1430" s="46"/>
      <c r="E1430" s="47">
        <v>37774</v>
      </c>
      <c r="F1430" s="48">
        <v>7</v>
      </c>
      <c r="G1430" s="55" t="s">
        <v>2259</v>
      </c>
      <c r="H1430" s="30" t="s">
        <v>1037</v>
      </c>
      <c r="I1430" s="45" t="s">
        <v>100</v>
      </c>
      <c r="J1430" s="45" t="s">
        <v>2260</v>
      </c>
      <c r="K1430" s="50" t="str">
        <f>"00030938"</f>
        <v>00030938</v>
      </c>
    </row>
    <row r="1431" spans="1:11" ht="45" customHeight="1">
      <c r="A1431" s="30">
        <v>105</v>
      </c>
      <c r="B1431" s="45" t="s">
        <v>1133</v>
      </c>
      <c r="C1431" s="45" t="s">
        <v>38</v>
      </c>
      <c r="D1431" s="46"/>
      <c r="E1431" s="47">
        <v>34755</v>
      </c>
      <c r="F1431" s="48">
        <v>7</v>
      </c>
      <c r="G1431" s="55" t="s">
        <v>2259</v>
      </c>
      <c r="H1431" s="30" t="s">
        <v>1037</v>
      </c>
      <c r="I1431" s="45" t="s">
        <v>100</v>
      </c>
      <c r="J1431" s="45" t="s">
        <v>2260</v>
      </c>
      <c r="K1431" s="50" t="str">
        <f>"00030935"</f>
        <v>00030935</v>
      </c>
    </row>
    <row r="1432" spans="1:11" ht="45" customHeight="1">
      <c r="A1432" s="30">
        <v>105</v>
      </c>
      <c r="B1432" s="45" t="s">
        <v>1133</v>
      </c>
      <c r="C1432" s="45" t="s">
        <v>38</v>
      </c>
      <c r="D1432" s="46"/>
      <c r="E1432" s="47">
        <v>40502</v>
      </c>
      <c r="F1432" s="48">
        <v>7</v>
      </c>
      <c r="G1432" s="55" t="s">
        <v>2259</v>
      </c>
      <c r="H1432" s="30" t="s">
        <v>1037</v>
      </c>
      <c r="I1432" s="45" t="s">
        <v>100</v>
      </c>
      <c r="J1432" s="45" t="s">
        <v>2260</v>
      </c>
      <c r="K1432" s="50" t="str">
        <f>"00030916"</f>
        <v>00030916</v>
      </c>
    </row>
    <row r="1433" spans="1:11" ht="45" customHeight="1">
      <c r="A1433" s="30">
        <v>105</v>
      </c>
      <c r="B1433" s="45" t="s">
        <v>1133</v>
      </c>
      <c r="C1433" s="45" t="s">
        <v>38</v>
      </c>
      <c r="D1433" s="46"/>
      <c r="E1433" s="47">
        <v>40502</v>
      </c>
      <c r="F1433" s="48">
        <v>7</v>
      </c>
      <c r="G1433" s="55" t="s">
        <v>2259</v>
      </c>
      <c r="H1433" s="30" t="s">
        <v>1037</v>
      </c>
      <c r="I1433" s="45" t="s">
        <v>100</v>
      </c>
      <c r="J1433" s="45" t="s">
        <v>2260</v>
      </c>
      <c r="K1433" s="50" t="str">
        <f>"00030918"</f>
        <v>00030918</v>
      </c>
    </row>
    <row r="1434" spans="1:11" ht="45" customHeight="1">
      <c r="A1434" s="30">
        <v>105</v>
      </c>
      <c r="B1434" s="45" t="s">
        <v>1133</v>
      </c>
      <c r="C1434" s="45" t="s">
        <v>38</v>
      </c>
      <c r="D1434" s="46"/>
      <c r="E1434" s="47">
        <v>40332</v>
      </c>
      <c r="F1434" s="48">
        <v>7</v>
      </c>
      <c r="G1434" s="55" t="s">
        <v>2259</v>
      </c>
      <c r="H1434" s="30" t="s">
        <v>1037</v>
      </c>
      <c r="I1434" s="45" t="s">
        <v>100</v>
      </c>
      <c r="J1434" s="45" t="s">
        <v>2260</v>
      </c>
      <c r="K1434" s="50" t="str">
        <f>"00030919"</f>
        <v>00030919</v>
      </c>
    </row>
    <row r="1435" spans="1:11" ht="45" customHeight="1">
      <c r="A1435" s="30">
        <v>105</v>
      </c>
      <c r="B1435" s="45" t="s">
        <v>1133</v>
      </c>
      <c r="C1435" s="45" t="s">
        <v>38</v>
      </c>
      <c r="D1435" s="46"/>
      <c r="E1435" s="47">
        <v>32490</v>
      </c>
      <c r="F1435" s="48">
        <v>7</v>
      </c>
      <c r="G1435" s="55" t="s">
        <v>2259</v>
      </c>
      <c r="H1435" s="30" t="s">
        <v>2261</v>
      </c>
      <c r="I1435" s="45" t="s">
        <v>100</v>
      </c>
      <c r="J1435" s="45" t="s">
        <v>2260</v>
      </c>
      <c r="K1435" s="50" t="str">
        <f>"00030941"</f>
        <v>00030941</v>
      </c>
    </row>
    <row r="1436" spans="1:11" ht="45" customHeight="1">
      <c r="A1436" s="30">
        <v>105</v>
      </c>
      <c r="B1436" s="45" t="s">
        <v>1133</v>
      </c>
      <c r="C1436" s="45" t="s">
        <v>38</v>
      </c>
      <c r="D1436" s="46"/>
      <c r="E1436" s="47">
        <v>36299</v>
      </c>
      <c r="F1436" s="48">
        <v>7</v>
      </c>
      <c r="G1436" s="55" t="s">
        <v>2259</v>
      </c>
      <c r="H1436" s="30" t="s">
        <v>1037</v>
      </c>
      <c r="I1436" s="45" t="s">
        <v>100</v>
      </c>
      <c r="J1436" s="45" t="s">
        <v>2260</v>
      </c>
      <c r="K1436" s="50" t="str">
        <f>"00030933"</f>
        <v>00030933</v>
      </c>
    </row>
    <row r="1437" spans="1:11" ht="45" customHeight="1">
      <c r="A1437" s="30">
        <v>105</v>
      </c>
      <c r="B1437" s="45" t="s">
        <v>1133</v>
      </c>
      <c r="C1437" s="45" t="s">
        <v>38</v>
      </c>
      <c r="D1437" s="46"/>
      <c r="E1437" s="47">
        <v>32375</v>
      </c>
      <c r="F1437" s="48">
        <v>7</v>
      </c>
      <c r="G1437" s="55" t="s">
        <v>2259</v>
      </c>
      <c r="H1437" s="30" t="s">
        <v>2261</v>
      </c>
      <c r="I1437" s="45" t="s">
        <v>100</v>
      </c>
      <c r="J1437" s="45" t="s">
        <v>2260</v>
      </c>
      <c r="K1437" s="50" t="str">
        <f>"00030942"</f>
        <v>00030942</v>
      </c>
    </row>
    <row r="1438" spans="1:11" ht="45" customHeight="1">
      <c r="A1438" s="30">
        <v>105</v>
      </c>
      <c r="B1438" s="45" t="s">
        <v>1121</v>
      </c>
      <c r="C1438" s="45" t="s">
        <v>38</v>
      </c>
      <c r="D1438" s="46"/>
      <c r="E1438" s="47">
        <v>81042</v>
      </c>
      <c r="F1438" s="48">
        <v>7</v>
      </c>
      <c r="G1438" s="45" t="s">
        <v>2272</v>
      </c>
      <c r="H1438" s="30" t="s">
        <v>2273</v>
      </c>
      <c r="I1438" s="76" t="s">
        <v>2245</v>
      </c>
      <c r="J1438" s="49" t="s">
        <v>2274</v>
      </c>
      <c r="K1438" s="50" t="str">
        <f>"00031596"</f>
        <v>00031596</v>
      </c>
    </row>
    <row r="1439" spans="1:11" ht="45" customHeight="1">
      <c r="A1439" s="30">
        <v>105</v>
      </c>
      <c r="B1439" s="45" t="s">
        <v>157</v>
      </c>
      <c r="C1439" s="45" t="s">
        <v>38</v>
      </c>
      <c r="D1439" s="46"/>
      <c r="E1439" s="47">
        <v>80000</v>
      </c>
      <c r="F1439" s="48">
        <v>7</v>
      </c>
      <c r="G1439" s="45" t="s">
        <v>2263</v>
      </c>
      <c r="H1439" s="30" t="s">
        <v>2264</v>
      </c>
      <c r="I1439" s="45" t="s">
        <v>158</v>
      </c>
      <c r="J1439" s="49" t="s">
        <v>2265</v>
      </c>
      <c r="K1439" s="50" t="str">
        <f>"00030164"</f>
        <v>00030164</v>
      </c>
    </row>
    <row r="1440" spans="1:11" ht="45" customHeight="1">
      <c r="A1440" s="30">
        <v>105</v>
      </c>
      <c r="B1440" s="49" t="s">
        <v>171</v>
      </c>
      <c r="C1440" s="45" t="s">
        <v>38</v>
      </c>
      <c r="D1440" s="46"/>
      <c r="E1440" s="47">
        <v>39080</v>
      </c>
      <c r="F1440" s="48">
        <v>7</v>
      </c>
      <c r="G1440" s="45" t="s">
        <v>2214</v>
      </c>
      <c r="H1440" s="30" t="s">
        <v>2262</v>
      </c>
      <c r="I1440" s="45" t="s">
        <v>152</v>
      </c>
      <c r="J1440" s="45" t="s">
        <v>153</v>
      </c>
      <c r="K1440" s="50" t="str">
        <f>"00031484"</f>
        <v>00031484</v>
      </c>
    </row>
    <row r="1441" spans="1:11" ht="45" customHeight="1">
      <c r="A1441" s="30">
        <v>105</v>
      </c>
      <c r="B1441" s="45" t="s">
        <v>2266</v>
      </c>
      <c r="C1441" s="45" t="s">
        <v>38</v>
      </c>
      <c r="D1441" s="46"/>
      <c r="E1441" s="47">
        <v>59065</v>
      </c>
      <c r="F1441" s="48">
        <v>7</v>
      </c>
      <c r="G1441" s="45" t="s">
        <v>2267</v>
      </c>
      <c r="H1441" s="30" t="s">
        <v>2268</v>
      </c>
      <c r="I1441" s="45" t="s">
        <v>392</v>
      </c>
      <c r="J1441" s="45" t="s">
        <v>1136</v>
      </c>
      <c r="K1441" s="50" t="str">
        <f>"00031818"</f>
        <v>00031818</v>
      </c>
    </row>
    <row r="1442" spans="1:11" ht="45" customHeight="1">
      <c r="A1442" s="30">
        <v>105</v>
      </c>
      <c r="B1442" s="45" t="s">
        <v>1121</v>
      </c>
      <c r="C1442" s="45" t="s">
        <v>38</v>
      </c>
      <c r="D1442" s="46"/>
      <c r="E1442" s="47">
        <v>79102</v>
      </c>
      <c r="F1442" s="48">
        <v>7</v>
      </c>
      <c r="G1442" s="45" t="s">
        <v>1122</v>
      </c>
      <c r="H1442" s="30" t="s">
        <v>1123</v>
      </c>
      <c r="I1442" s="45" t="s">
        <v>448</v>
      </c>
      <c r="J1442" s="45" t="s">
        <v>1124</v>
      </c>
      <c r="K1442" s="50" t="str">
        <f>"00031194"</f>
        <v>00031194</v>
      </c>
    </row>
    <row r="1443" spans="1:11" ht="45" customHeight="1">
      <c r="A1443" s="30">
        <v>105</v>
      </c>
      <c r="B1443" s="45" t="s">
        <v>1121</v>
      </c>
      <c r="C1443" s="45" t="s">
        <v>38</v>
      </c>
      <c r="D1443" s="46"/>
      <c r="E1443" s="47">
        <v>79102</v>
      </c>
      <c r="F1443" s="48">
        <v>7</v>
      </c>
      <c r="G1443" s="45" t="s">
        <v>1122</v>
      </c>
      <c r="H1443" s="30" t="s">
        <v>1123</v>
      </c>
      <c r="I1443" s="45" t="s">
        <v>448</v>
      </c>
      <c r="J1443" s="45" t="s">
        <v>1124</v>
      </c>
      <c r="K1443" s="50" t="str">
        <f>"00031104"</f>
        <v>00031104</v>
      </c>
    </row>
    <row r="1444" spans="1:11" ht="45" customHeight="1">
      <c r="A1444" s="30">
        <v>105</v>
      </c>
      <c r="B1444" s="45" t="s">
        <v>1121</v>
      </c>
      <c r="C1444" s="45" t="s">
        <v>38</v>
      </c>
      <c r="D1444" s="46"/>
      <c r="E1444" s="47">
        <v>79102</v>
      </c>
      <c r="F1444" s="48">
        <v>7</v>
      </c>
      <c r="G1444" s="45" t="s">
        <v>2243</v>
      </c>
      <c r="H1444" s="30" t="s">
        <v>1123</v>
      </c>
      <c r="I1444" s="45" t="s">
        <v>448</v>
      </c>
      <c r="J1444" s="45" t="s">
        <v>1124</v>
      </c>
      <c r="K1444" s="50" t="str">
        <f>"00031091"</f>
        <v>00031091</v>
      </c>
    </row>
    <row r="1445" spans="1:11" ht="45" customHeight="1">
      <c r="A1445" s="30">
        <v>105</v>
      </c>
      <c r="B1445" s="45" t="s">
        <v>289</v>
      </c>
      <c r="C1445" s="45" t="s">
        <v>38</v>
      </c>
      <c r="D1445" s="46"/>
      <c r="E1445" s="47">
        <v>114843</v>
      </c>
      <c r="F1445" s="48">
        <v>7</v>
      </c>
      <c r="G1445" s="45" t="s">
        <v>2270</v>
      </c>
      <c r="H1445" s="30" t="s">
        <v>1129</v>
      </c>
      <c r="I1445" s="45" t="s">
        <v>351</v>
      </c>
      <c r="J1445" s="45" t="s">
        <v>1130</v>
      </c>
      <c r="K1445" s="50" t="str">
        <f>"00029659"</f>
        <v>00029659</v>
      </c>
    </row>
    <row r="1446" spans="1:11" ht="45" customHeight="1">
      <c r="A1446" s="30">
        <v>105</v>
      </c>
      <c r="B1446" s="45" t="s">
        <v>1157</v>
      </c>
      <c r="C1446" s="45" t="s">
        <v>38</v>
      </c>
      <c r="D1446" s="46"/>
      <c r="E1446" s="47">
        <v>48934</v>
      </c>
      <c r="F1446" s="48">
        <v>7</v>
      </c>
      <c r="G1446" s="45" t="s">
        <v>160</v>
      </c>
      <c r="H1446" s="30" t="s">
        <v>2247</v>
      </c>
      <c r="I1446" s="45" t="s">
        <v>161</v>
      </c>
      <c r="J1446" s="45" t="s">
        <v>169</v>
      </c>
      <c r="K1446" s="50" t="str">
        <f>"00031077"</f>
        <v>00031077</v>
      </c>
    </row>
    <row r="1447" spans="1:11" ht="45" customHeight="1">
      <c r="A1447" s="30">
        <v>105</v>
      </c>
      <c r="B1447" s="45" t="s">
        <v>157</v>
      </c>
      <c r="C1447" s="45" t="s">
        <v>38</v>
      </c>
      <c r="D1447" s="46"/>
      <c r="E1447" s="47">
        <v>89949</v>
      </c>
      <c r="F1447" s="48">
        <v>7</v>
      </c>
      <c r="G1447" s="45" t="s">
        <v>2232</v>
      </c>
      <c r="H1447" s="30" t="s">
        <v>2233</v>
      </c>
      <c r="I1447" s="45" t="s">
        <v>158</v>
      </c>
      <c r="J1447" s="45" t="s">
        <v>2234</v>
      </c>
      <c r="K1447" s="50" t="str">
        <f>"00029808"</f>
        <v>00029808</v>
      </c>
    </row>
    <row r="1448" spans="1:11" ht="45" customHeight="1">
      <c r="A1448" s="30">
        <v>105</v>
      </c>
      <c r="B1448" s="45" t="s">
        <v>1151</v>
      </c>
      <c r="C1448" s="45" t="s">
        <v>38</v>
      </c>
      <c r="D1448" s="46"/>
      <c r="E1448" s="47">
        <v>45671</v>
      </c>
      <c r="F1448" s="48">
        <v>7</v>
      </c>
      <c r="G1448" s="45" t="s">
        <v>2271</v>
      </c>
      <c r="H1448" s="30" t="s">
        <v>1127</v>
      </c>
      <c r="I1448" s="45" t="s">
        <v>152</v>
      </c>
      <c r="J1448" s="45" t="s">
        <v>153</v>
      </c>
      <c r="K1448" s="50" t="str">
        <f>"00031773"</f>
        <v>00031773</v>
      </c>
    </row>
    <row r="1449" spans="1:11" ht="45" customHeight="1">
      <c r="A1449" s="30">
        <v>105</v>
      </c>
      <c r="B1449" s="45" t="s">
        <v>2235</v>
      </c>
      <c r="C1449" s="45" t="s">
        <v>38</v>
      </c>
      <c r="D1449" s="46"/>
      <c r="E1449" s="47">
        <v>39217</v>
      </c>
      <c r="F1449" s="48">
        <v>7</v>
      </c>
      <c r="G1449" s="45" t="s">
        <v>2236</v>
      </c>
      <c r="H1449" s="30" t="s">
        <v>2237</v>
      </c>
      <c r="I1449" s="45" t="s">
        <v>116</v>
      </c>
      <c r="J1449" s="49" t="s">
        <v>2238</v>
      </c>
      <c r="K1449" s="50" t="str">
        <f>"00029345"</f>
        <v>00029345</v>
      </c>
    </row>
    <row r="1450" spans="1:11" ht="45" customHeight="1">
      <c r="A1450" s="30">
        <v>105</v>
      </c>
      <c r="B1450" s="45" t="s">
        <v>1121</v>
      </c>
      <c r="C1450" s="45" t="s">
        <v>38</v>
      </c>
      <c r="D1450" s="46"/>
      <c r="E1450" s="47">
        <v>73489</v>
      </c>
      <c r="F1450" s="48">
        <v>7</v>
      </c>
      <c r="G1450" s="45" t="s">
        <v>2248</v>
      </c>
      <c r="H1450" s="30" t="s">
        <v>2244</v>
      </c>
      <c r="I1450" s="76" t="s">
        <v>2245</v>
      </c>
      <c r="J1450" s="49" t="s">
        <v>2246</v>
      </c>
      <c r="K1450" s="50" t="str">
        <f>"00030527"</f>
        <v>00030527</v>
      </c>
    </row>
    <row r="1451" spans="1:11" ht="45" customHeight="1">
      <c r="A1451" s="30">
        <v>105</v>
      </c>
      <c r="B1451" s="51" t="s">
        <v>1114</v>
      </c>
      <c r="C1451" s="45" t="s">
        <v>38</v>
      </c>
      <c r="D1451" s="46"/>
      <c r="E1451" s="47">
        <v>48924</v>
      </c>
      <c r="F1451" s="48">
        <v>7</v>
      </c>
      <c r="G1451" s="45" t="s">
        <v>160</v>
      </c>
      <c r="H1451" s="30" t="s">
        <v>2247</v>
      </c>
      <c r="I1451" s="45" t="s">
        <v>161</v>
      </c>
      <c r="J1451" s="45" t="s">
        <v>169</v>
      </c>
      <c r="K1451" s="50" t="str">
        <f>"00031086"</f>
        <v>00031086</v>
      </c>
    </row>
    <row r="1452" spans="1:11" ht="45" customHeight="1">
      <c r="A1452" s="30">
        <v>105</v>
      </c>
      <c r="B1452" s="45" t="s">
        <v>2239</v>
      </c>
      <c r="C1452" s="45" t="s">
        <v>38</v>
      </c>
      <c r="D1452" s="46"/>
      <c r="E1452" s="47">
        <v>135983</v>
      </c>
      <c r="F1452" s="48">
        <v>7</v>
      </c>
      <c r="G1452" s="45" t="s">
        <v>2240</v>
      </c>
      <c r="H1452" s="30" t="s">
        <v>2241</v>
      </c>
      <c r="I1452" s="45" t="s">
        <v>107</v>
      </c>
      <c r="J1452" s="49" t="s">
        <v>2242</v>
      </c>
      <c r="K1452" s="50" t="str">
        <f>"00031498"</f>
        <v>00031498</v>
      </c>
    </row>
    <row r="1453" spans="1:11" ht="45" customHeight="1">
      <c r="A1453" s="30">
        <v>105</v>
      </c>
      <c r="B1453" s="45" t="s">
        <v>1121</v>
      </c>
      <c r="C1453" s="45" t="s">
        <v>38</v>
      </c>
      <c r="D1453" s="46"/>
      <c r="E1453" s="47">
        <v>77419</v>
      </c>
      <c r="F1453" s="48">
        <v>7</v>
      </c>
      <c r="G1453" s="45" t="s">
        <v>2243</v>
      </c>
      <c r="H1453" s="30" t="s">
        <v>2244</v>
      </c>
      <c r="I1453" s="76" t="s">
        <v>2245</v>
      </c>
      <c r="J1453" s="49" t="s">
        <v>2246</v>
      </c>
      <c r="K1453" s="50" t="str">
        <f>"00030398"</f>
        <v>00030398</v>
      </c>
    </row>
    <row r="1454" spans="1:11" ht="45" customHeight="1">
      <c r="A1454" s="30">
        <v>105</v>
      </c>
      <c r="B1454" s="45" t="s">
        <v>2282</v>
      </c>
      <c r="C1454" s="45" t="s">
        <v>38</v>
      </c>
      <c r="D1454" s="46"/>
      <c r="E1454" s="47">
        <v>60783</v>
      </c>
      <c r="F1454" s="48">
        <v>7</v>
      </c>
      <c r="G1454" s="45" t="s">
        <v>2284</v>
      </c>
      <c r="H1454" s="30" t="s">
        <v>2237</v>
      </c>
      <c r="I1454" s="45" t="s">
        <v>116</v>
      </c>
      <c r="J1454" s="49" t="s">
        <v>2238</v>
      </c>
      <c r="K1454" s="50" t="str">
        <f>"00029345"</f>
        <v>00029345</v>
      </c>
    </row>
    <row r="1455" spans="1:11" ht="45" customHeight="1">
      <c r="A1455" s="30">
        <v>105</v>
      </c>
      <c r="B1455" s="45" t="s">
        <v>2285</v>
      </c>
      <c r="C1455" s="45" t="s">
        <v>38</v>
      </c>
      <c r="D1455" s="46"/>
      <c r="E1455" s="47">
        <v>161669</v>
      </c>
      <c r="F1455" s="48">
        <v>7</v>
      </c>
      <c r="G1455" s="45" t="s">
        <v>2286</v>
      </c>
      <c r="H1455" s="30" t="s">
        <v>2287</v>
      </c>
      <c r="I1455" s="45" t="s">
        <v>116</v>
      </c>
      <c r="J1455" s="45" t="s">
        <v>117</v>
      </c>
      <c r="K1455" s="64" t="s">
        <v>4321</v>
      </c>
    </row>
    <row r="1456" spans="1:11" ht="45" customHeight="1">
      <c r="A1456" s="30">
        <v>105</v>
      </c>
      <c r="B1456" s="45" t="s">
        <v>2278</v>
      </c>
      <c r="C1456" s="45" t="s">
        <v>38</v>
      </c>
      <c r="D1456" s="46"/>
      <c r="E1456" s="47">
        <v>74511</v>
      </c>
      <c r="F1456" s="48">
        <v>7</v>
      </c>
      <c r="G1456" s="45" t="s">
        <v>2279</v>
      </c>
      <c r="H1456" s="30" t="s">
        <v>2280</v>
      </c>
      <c r="I1456" s="45" t="s">
        <v>116</v>
      </c>
      <c r="J1456" s="45" t="s">
        <v>2281</v>
      </c>
      <c r="K1456" s="50" t="str">
        <f>"00030336"</f>
        <v>00030336</v>
      </c>
    </row>
    <row r="1457" spans="1:11" ht="45" customHeight="1">
      <c r="A1457" s="30">
        <v>105</v>
      </c>
      <c r="B1457" s="45" t="s">
        <v>2275</v>
      </c>
      <c r="C1457" s="45" t="s">
        <v>38</v>
      </c>
      <c r="D1457" s="46"/>
      <c r="E1457" s="47">
        <v>55243</v>
      </c>
      <c r="F1457" s="48">
        <v>7</v>
      </c>
      <c r="G1457" s="45" t="s">
        <v>2276</v>
      </c>
      <c r="H1457" s="30" t="s">
        <v>2277</v>
      </c>
      <c r="I1457" s="45" t="s">
        <v>116</v>
      </c>
      <c r="J1457" s="45" t="s">
        <v>281</v>
      </c>
      <c r="K1457" s="50" t="str">
        <f>"00029781"</f>
        <v>00029781</v>
      </c>
    </row>
    <row r="1458" spans="1:11" ht="45" customHeight="1">
      <c r="A1458" s="30">
        <v>105</v>
      </c>
      <c r="B1458" s="45" t="s">
        <v>2278</v>
      </c>
      <c r="C1458" s="45" t="s">
        <v>38</v>
      </c>
      <c r="D1458" s="46"/>
      <c r="E1458" s="47">
        <v>90039</v>
      </c>
      <c r="F1458" s="48">
        <v>7</v>
      </c>
      <c r="G1458" s="45" t="s">
        <v>2279</v>
      </c>
      <c r="H1458" s="30" t="s">
        <v>1791</v>
      </c>
      <c r="I1458" s="45" t="s">
        <v>116</v>
      </c>
      <c r="J1458" s="45" t="s">
        <v>2281</v>
      </c>
      <c r="K1458" s="50" t="str">
        <f>"00030329"</f>
        <v>00030329</v>
      </c>
    </row>
    <row r="1459" spans="1:11" ht="45" customHeight="1">
      <c r="A1459" s="30">
        <v>105</v>
      </c>
      <c r="B1459" s="45" t="s">
        <v>2282</v>
      </c>
      <c r="C1459" s="45" t="s">
        <v>38</v>
      </c>
      <c r="D1459" s="46"/>
      <c r="E1459" s="47">
        <v>29793</v>
      </c>
      <c r="F1459" s="48">
        <v>7</v>
      </c>
      <c r="G1459" s="45" t="s">
        <v>2279</v>
      </c>
      <c r="H1459" s="30" t="s">
        <v>2283</v>
      </c>
      <c r="I1459" s="45" t="s">
        <v>116</v>
      </c>
      <c r="J1459" s="45" t="s">
        <v>2281</v>
      </c>
      <c r="K1459" s="50" t="str">
        <f>"00031195"</f>
        <v>00031195</v>
      </c>
    </row>
    <row r="1460" spans="1:11" ht="45" customHeight="1">
      <c r="A1460" s="30">
        <v>105</v>
      </c>
      <c r="B1460" s="45" t="s">
        <v>4331</v>
      </c>
      <c r="C1460" s="45" t="s">
        <v>38</v>
      </c>
      <c r="D1460" s="46"/>
      <c r="E1460" s="47">
        <v>47634</v>
      </c>
      <c r="F1460" s="48">
        <v>7</v>
      </c>
      <c r="G1460" s="55" t="s">
        <v>4332</v>
      </c>
      <c r="H1460" s="30" t="s">
        <v>1998</v>
      </c>
      <c r="I1460" s="45" t="s">
        <v>107</v>
      </c>
      <c r="J1460" s="45" t="s">
        <v>2258</v>
      </c>
      <c r="K1460" s="50" t="str">
        <f>"00031031"</f>
        <v>00031031</v>
      </c>
    </row>
    <row r="1461" spans="1:11" ht="45" customHeight="1">
      <c r="A1461" s="30">
        <v>105</v>
      </c>
      <c r="B1461" s="45" t="s">
        <v>206</v>
      </c>
      <c r="C1461" s="45" t="s">
        <v>38</v>
      </c>
      <c r="D1461" s="46"/>
      <c r="E1461" s="47">
        <v>82885</v>
      </c>
      <c r="F1461" s="48">
        <v>7</v>
      </c>
      <c r="G1461" s="45" t="s">
        <v>61</v>
      </c>
      <c r="H1461" s="30" t="s">
        <v>1669</v>
      </c>
      <c r="I1461" s="45" t="s">
        <v>161</v>
      </c>
      <c r="J1461" s="45" t="s">
        <v>169</v>
      </c>
      <c r="K1461" s="50" t="str">
        <f>"00028476"</f>
        <v>00028476</v>
      </c>
    </row>
    <row r="1462" spans="1:11" ht="45" customHeight="1">
      <c r="A1462" s="32"/>
      <c r="B1462" s="58" t="s">
        <v>144</v>
      </c>
      <c r="C1462" s="65"/>
      <c r="D1462" s="66"/>
      <c r="E1462" s="59">
        <f>SUM(E1404:E1461)</f>
        <v>3592940</v>
      </c>
      <c r="F1462" s="67"/>
      <c r="G1462" s="65"/>
      <c r="H1462" s="32"/>
      <c r="I1462" s="65"/>
      <c r="J1462" s="65"/>
      <c r="K1462" s="100"/>
    </row>
    <row r="1463" spans="1:11" ht="45" customHeight="1">
      <c r="A1463" s="32"/>
      <c r="B1463" s="60" t="s">
        <v>185</v>
      </c>
      <c r="C1463" s="65"/>
      <c r="D1463" s="66"/>
      <c r="E1463" s="59"/>
      <c r="F1463" s="67"/>
      <c r="G1463" s="65"/>
      <c r="H1463" s="32"/>
      <c r="I1463" s="65"/>
      <c r="J1463" s="65"/>
      <c r="K1463" s="93"/>
    </row>
    <row r="1464" spans="1:11" ht="45" customHeight="1">
      <c r="A1464" s="30">
        <v>105</v>
      </c>
      <c r="B1464" s="45" t="s">
        <v>2288</v>
      </c>
      <c r="C1464" s="45" t="s">
        <v>38</v>
      </c>
      <c r="D1464" s="46"/>
      <c r="E1464" s="47">
        <v>94526</v>
      </c>
      <c r="F1464" s="48">
        <v>7</v>
      </c>
      <c r="G1464" s="45" t="s">
        <v>2289</v>
      </c>
      <c r="H1464" s="30" t="s">
        <v>2012</v>
      </c>
      <c r="I1464" s="45" t="s">
        <v>94</v>
      </c>
      <c r="J1464" s="45" t="s">
        <v>650</v>
      </c>
      <c r="K1464" s="54" t="s">
        <v>3563</v>
      </c>
    </row>
    <row r="1465" spans="1:11" ht="45" customHeight="1">
      <c r="A1465" s="30">
        <v>105</v>
      </c>
      <c r="B1465" s="45" t="s">
        <v>2298</v>
      </c>
      <c r="C1465" s="45" t="s">
        <v>38</v>
      </c>
      <c r="D1465" s="46"/>
      <c r="E1465" s="47">
        <v>109638</v>
      </c>
      <c r="F1465" s="48">
        <v>7</v>
      </c>
      <c r="G1465" s="45" t="s">
        <v>2299</v>
      </c>
      <c r="H1465" s="30" t="s">
        <v>2300</v>
      </c>
      <c r="I1465" s="45" t="s">
        <v>102</v>
      </c>
      <c r="J1465" s="45" t="s">
        <v>2301</v>
      </c>
      <c r="K1465" s="61" t="s">
        <v>3564</v>
      </c>
    </row>
    <row r="1466" spans="1:11" ht="45" customHeight="1">
      <c r="A1466" s="30">
        <v>105</v>
      </c>
      <c r="B1466" s="45" t="s">
        <v>2290</v>
      </c>
      <c r="C1466" s="45" t="s">
        <v>38</v>
      </c>
      <c r="D1466" s="46"/>
      <c r="E1466" s="47">
        <v>40000</v>
      </c>
      <c r="F1466" s="48">
        <v>7</v>
      </c>
      <c r="G1466" s="45" t="s">
        <v>2291</v>
      </c>
      <c r="H1466" s="30" t="s">
        <v>2292</v>
      </c>
      <c r="I1466" s="45" t="s">
        <v>107</v>
      </c>
      <c r="J1466" s="45" t="s">
        <v>2293</v>
      </c>
      <c r="K1466" s="50" t="str">
        <f>"00030643"</f>
        <v>00030643</v>
      </c>
    </row>
    <row r="1467" spans="1:11" ht="45" customHeight="1">
      <c r="A1467" s="30">
        <v>105</v>
      </c>
      <c r="B1467" s="45" t="s">
        <v>314</v>
      </c>
      <c r="C1467" s="45" t="s">
        <v>38</v>
      </c>
      <c r="D1467" s="46"/>
      <c r="E1467" s="47">
        <v>43800</v>
      </c>
      <c r="F1467" s="48">
        <v>7</v>
      </c>
      <c r="G1467" s="45" t="s">
        <v>2294</v>
      </c>
      <c r="H1467" s="30" t="s">
        <v>2295</v>
      </c>
      <c r="I1467" s="45" t="s">
        <v>111</v>
      </c>
      <c r="J1467" s="45" t="s">
        <v>2296</v>
      </c>
      <c r="K1467" s="50" t="str">
        <f>"00029267"</f>
        <v>00029267</v>
      </c>
    </row>
    <row r="1468" spans="1:11" ht="45" customHeight="1">
      <c r="A1468" s="30">
        <v>105</v>
      </c>
      <c r="B1468" s="45" t="s">
        <v>2297</v>
      </c>
      <c r="C1468" s="45" t="s">
        <v>38</v>
      </c>
      <c r="D1468" s="46"/>
      <c r="E1468" s="47">
        <v>80000</v>
      </c>
      <c r="F1468" s="48">
        <v>7</v>
      </c>
      <c r="G1468" s="45" t="s">
        <v>2294</v>
      </c>
      <c r="H1468" s="30" t="s">
        <v>2295</v>
      </c>
      <c r="I1468" s="45" t="s">
        <v>111</v>
      </c>
      <c r="J1468" s="45" t="s">
        <v>2296</v>
      </c>
      <c r="K1468" s="50" t="str">
        <f>"00029267"</f>
        <v>00029267</v>
      </c>
    </row>
    <row r="1469" spans="1:11" ht="45" customHeight="1">
      <c r="A1469" s="30">
        <v>105</v>
      </c>
      <c r="B1469" s="45" t="s">
        <v>2302</v>
      </c>
      <c r="C1469" s="45" t="s">
        <v>38</v>
      </c>
      <c r="D1469" s="46"/>
      <c r="E1469" s="47">
        <v>292127</v>
      </c>
      <c r="F1469" s="48">
        <v>7</v>
      </c>
      <c r="G1469" s="45" t="s">
        <v>2303</v>
      </c>
      <c r="H1469" s="30" t="s">
        <v>2304</v>
      </c>
      <c r="I1469" s="45" t="s">
        <v>107</v>
      </c>
      <c r="J1469" s="45" t="s">
        <v>184</v>
      </c>
      <c r="K1469" s="61" t="s">
        <v>3565</v>
      </c>
    </row>
    <row r="1470" spans="1:11" ht="45" customHeight="1">
      <c r="A1470" s="30">
        <v>105</v>
      </c>
      <c r="B1470" s="45" t="s">
        <v>2305</v>
      </c>
      <c r="C1470" s="45" t="s">
        <v>38</v>
      </c>
      <c r="D1470" s="46"/>
      <c r="E1470" s="47">
        <v>33157</v>
      </c>
      <c r="F1470" s="48">
        <v>7</v>
      </c>
      <c r="G1470" s="45" t="s">
        <v>2306</v>
      </c>
      <c r="H1470" s="30" t="s">
        <v>1217</v>
      </c>
      <c r="I1470" s="45" t="s">
        <v>304</v>
      </c>
      <c r="J1470" s="45" t="s">
        <v>567</v>
      </c>
      <c r="K1470" s="54" t="s">
        <v>3566</v>
      </c>
    </row>
    <row r="1471" spans="1:11" ht="45" customHeight="1">
      <c r="A1471" s="30">
        <v>105</v>
      </c>
      <c r="B1471" s="45" t="s">
        <v>2310</v>
      </c>
      <c r="C1471" s="45" t="s">
        <v>38</v>
      </c>
      <c r="D1471" s="46"/>
      <c r="E1471" s="47">
        <v>459865</v>
      </c>
      <c r="F1471" s="48">
        <v>7</v>
      </c>
      <c r="G1471" s="45" t="s">
        <v>2311</v>
      </c>
      <c r="H1471" s="30" t="s">
        <v>2312</v>
      </c>
      <c r="I1471" s="45" t="s">
        <v>107</v>
      </c>
      <c r="J1471" s="51" t="s">
        <v>199</v>
      </c>
      <c r="K1471" s="62" t="s">
        <v>3630</v>
      </c>
    </row>
    <row r="1472" spans="1:11" ht="45" customHeight="1">
      <c r="A1472" s="30">
        <v>105</v>
      </c>
      <c r="B1472" s="45" t="s">
        <v>2307</v>
      </c>
      <c r="C1472" s="45" t="s">
        <v>38</v>
      </c>
      <c r="D1472" s="46"/>
      <c r="E1472" s="47">
        <v>187844</v>
      </c>
      <c r="F1472" s="48">
        <v>7</v>
      </c>
      <c r="G1472" s="45" t="s">
        <v>2308</v>
      </c>
      <c r="H1472" s="30" t="s">
        <v>2309</v>
      </c>
      <c r="I1472" s="45" t="s">
        <v>107</v>
      </c>
      <c r="J1472" s="45" t="s">
        <v>184</v>
      </c>
      <c r="K1472" s="61" t="s">
        <v>3567</v>
      </c>
    </row>
    <row r="1473" spans="1:11" ht="45" customHeight="1">
      <c r="A1473" s="30">
        <v>105</v>
      </c>
      <c r="B1473" s="45" t="s">
        <v>3624</v>
      </c>
      <c r="C1473" s="45" t="s">
        <v>38</v>
      </c>
      <c r="D1473" s="46"/>
      <c r="E1473" s="47">
        <v>23522</v>
      </c>
      <c r="F1473" s="48">
        <v>7</v>
      </c>
      <c r="G1473" s="45" t="s">
        <v>2294</v>
      </c>
      <c r="H1473" s="30" t="s">
        <v>2295</v>
      </c>
      <c r="I1473" s="45" t="s">
        <v>111</v>
      </c>
      <c r="J1473" s="45" t="s">
        <v>2296</v>
      </c>
      <c r="K1473" s="50" t="str">
        <f>"00029267"</f>
        <v>00029267</v>
      </c>
    </row>
    <row r="1474" spans="1:11" ht="45" customHeight="1">
      <c r="A1474" s="30">
        <v>105</v>
      </c>
      <c r="B1474" s="45" t="s">
        <v>3625</v>
      </c>
      <c r="C1474" s="45" t="s">
        <v>38</v>
      </c>
      <c r="D1474" s="46"/>
      <c r="E1474" s="47">
        <v>157500</v>
      </c>
      <c r="F1474" s="48">
        <v>7</v>
      </c>
      <c r="G1474" s="45" t="s">
        <v>3626</v>
      </c>
      <c r="H1474" s="30" t="s">
        <v>3627</v>
      </c>
      <c r="I1474" s="45" t="s">
        <v>107</v>
      </c>
      <c r="J1474" s="45" t="s">
        <v>3628</v>
      </c>
      <c r="K1474" s="50" t="str">
        <f>"00029299"</f>
        <v>00029299</v>
      </c>
    </row>
    <row r="1475" spans="1:11" ht="45" customHeight="1">
      <c r="A1475" s="30">
        <v>104</v>
      </c>
      <c r="B1475" s="45" t="s">
        <v>188</v>
      </c>
      <c r="C1475" s="45" t="s">
        <v>38</v>
      </c>
      <c r="D1475" s="46"/>
      <c r="E1475" s="47">
        <v>-1525</v>
      </c>
      <c r="F1475" s="48">
        <v>7</v>
      </c>
      <c r="G1475" s="45" t="s">
        <v>189</v>
      </c>
      <c r="H1475" s="30" t="s">
        <v>190</v>
      </c>
      <c r="I1475" s="45" t="s">
        <v>107</v>
      </c>
      <c r="J1475" s="45" t="s">
        <v>184</v>
      </c>
      <c r="K1475" s="64" t="s">
        <v>3629</v>
      </c>
    </row>
    <row r="1476" spans="1:11" ht="45" customHeight="1">
      <c r="A1476" s="30">
        <v>104</v>
      </c>
      <c r="B1476" s="45" t="s">
        <v>191</v>
      </c>
      <c r="C1476" s="45" t="s">
        <v>38</v>
      </c>
      <c r="D1476" s="46"/>
      <c r="E1476" s="47">
        <v>337256</v>
      </c>
      <c r="F1476" s="48">
        <v>7</v>
      </c>
      <c r="G1476" s="45" t="s">
        <v>192</v>
      </c>
      <c r="H1476" s="30" t="s">
        <v>182</v>
      </c>
      <c r="I1476" s="45" t="s">
        <v>107</v>
      </c>
      <c r="J1476" s="76" t="s">
        <v>183</v>
      </c>
      <c r="K1476" s="101" t="s">
        <v>3646</v>
      </c>
    </row>
    <row r="1477" spans="1:11" ht="45" customHeight="1">
      <c r="A1477" s="30"/>
      <c r="B1477" s="58" t="s">
        <v>198</v>
      </c>
      <c r="C1477" s="45"/>
      <c r="D1477" s="46"/>
      <c r="E1477" s="47">
        <f>SUM(E1464:E1476)</f>
        <v>1857710</v>
      </c>
      <c r="F1477" s="48"/>
      <c r="G1477" s="45"/>
      <c r="H1477" s="30"/>
      <c r="I1477" s="45"/>
      <c r="J1477" s="45"/>
      <c r="K1477" s="50"/>
    </row>
    <row r="1478" spans="1:11" ht="45" customHeight="1">
      <c r="A1478" s="30"/>
      <c r="B1478" s="60" t="s">
        <v>663</v>
      </c>
      <c r="C1478" s="45"/>
      <c r="D1478" s="46"/>
      <c r="E1478" s="47"/>
      <c r="F1478" s="48"/>
      <c r="G1478" s="45"/>
      <c r="H1478" s="30"/>
      <c r="I1478" s="45"/>
      <c r="J1478" s="45"/>
      <c r="K1478" s="50"/>
    </row>
    <row r="1479" spans="1:11" ht="45" customHeight="1">
      <c r="A1479" s="30">
        <v>105</v>
      </c>
      <c r="B1479" s="45" t="s">
        <v>2451</v>
      </c>
      <c r="C1479" s="45" t="s">
        <v>38</v>
      </c>
      <c r="D1479" s="46"/>
      <c r="E1479" s="47">
        <v>33499</v>
      </c>
      <c r="F1479" s="48">
        <v>7</v>
      </c>
      <c r="G1479" s="49" t="s">
        <v>2452</v>
      </c>
      <c r="H1479" s="30" t="s">
        <v>2453</v>
      </c>
      <c r="I1479" s="45" t="s">
        <v>92</v>
      </c>
      <c r="J1479" s="45" t="s">
        <v>2454</v>
      </c>
      <c r="K1479" s="50" t="str">
        <f>"00028659"</f>
        <v>00028659</v>
      </c>
    </row>
    <row r="1480" spans="1:11" ht="45" customHeight="1">
      <c r="A1480" s="30">
        <v>105</v>
      </c>
      <c r="B1480" s="45" t="s">
        <v>2451</v>
      </c>
      <c r="C1480" s="45" t="s">
        <v>38</v>
      </c>
      <c r="D1480" s="46"/>
      <c r="E1480" s="47">
        <v>35559</v>
      </c>
      <c r="F1480" s="48">
        <v>7</v>
      </c>
      <c r="G1480" s="49" t="s">
        <v>2452</v>
      </c>
      <c r="H1480" s="30" t="s">
        <v>2453</v>
      </c>
      <c r="I1480" s="45" t="s">
        <v>92</v>
      </c>
      <c r="J1480" s="45" t="s">
        <v>2454</v>
      </c>
      <c r="K1480" s="50" t="str">
        <f>"00028657"</f>
        <v>00028657</v>
      </c>
    </row>
    <row r="1481" spans="1:11" ht="45" customHeight="1">
      <c r="A1481" s="30">
        <v>105</v>
      </c>
      <c r="B1481" s="45" t="s">
        <v>1630</v>
      </c>
      <c r="C1481" s="45" t="s">
        <v>38</v>
      </c>
      <c r="D1481" s="46"/>
      <c r="E1481" s="47">
        <v>152094</v>
      </c>
      <c r="F1481" s="48">
        <v>7</v>
      </c>
      <c r="G1481" s="45" t="s">
        <v>2450</v>
      </c>
      <c r="H1481" s="30" t="s">
        <v>1374</v>
      </c>
      <c r="I1481" s="45" t="s">
        <v>107</v>
      </c>
      <c r="J1481" s="45" t="s">
        <v>108</v>
      </c>
      <c r="K1481" s="50" t="str">
        <f>"00029116"</f>
        <v>00029116</v>
      </c>
    </row>
    <row r="1482" spans="1:11" ht="45" customHeight="1">
      <c r="A1482" s="30">
        <v>105</v>
      </c>
      <c r="B1482" s="45" t="s">
        <v>2464</v>
      </c>
      <c r="C1482" s="45" t="s">
        <v>38</v>
      </c>
      <c r="D1482" s="46"/>
      <c r="E1482" s="47">
        <v>72437</v>
      </c>
      <c r="F1482" s="48">
        <v>7</v>
      </c>
      <c r="G1482" s="45" t="s">
        <v>2462</v>
      </c>
      <c r="H1482" s="30" t="s">
        <v>2463</v>
      </c>
      <c r="I1482" s="45" t="s">
        <v>116</v>
      </c>
      <c r="J1482" s="45" t="s">
        <v>694</v>
      </c>
      <c r="K1482" s="50" t="str">
        <f>"00029736"</f>
        <v>00029736</v>
      </c>
    </row>
    <row r="1483" spans="1:11" ht="45" customHeight="1">
      <c r="A1483" s="30">
        <v>105</v>
      </c>
      <c r="B1483" s="45" t="s">
        <v>2464</v>
      </c>
      <c r="C1483" s="45" t="s">
        <v>38</v>
      </c>
      <c r="D1483" s="46"/>
      <c r="E1483" s="47">
        <v>-72437</v>
      </c>
      <c r="F1483" s="48">
        <v>7</v>
      </c>
      <c r="G1483" s="45" t="s">
        <v>2462</v>
      </c>
      <c r="H1483" s="30" t="s">
        <v>2463</v>
      </c>
      <c r="I1483" s="45" t="s">
        <v>116</v>
      </c>
      <c r="J1483" s="45" t="s">
        <v>694</v>
      </c>
      <c r="K1483" s="50" t="s">
        <v>5611</v>
      </c>
    </row>
    <row r="1484" spans="1:11" ht="45" customHeight="1">
      <c r="A1484" s="30">
        <v>105</v>
      </c>
      <c r="B1484" s="45" t="s">
        <v>2461</v>
      </c>
      <c r="C1484" s="45" t="s">
        <v>38</v>
      </c>
      <c r="D1484" s="46"/>
      <c r="E1484" s="47">
        <v>72437</v>
      </c>
      <c r="F1484" s="48">
        <v>7</v>
      </c>
      <c r="G1484" s="45" t="s">
        <v>2462</v>
      </c>
      <c r="H1484" s="30" t="s">
        <v>2463</v>
      </c>
      <c r="I1484" s="45" t="s">
        <v>116</v>
      </c>
      <c r="J1484" s="45" t="s">
        <v>694</v>
      </c>
      <c r="K1484" s="50" t="s">
        <v>5612</v>
      </c>
    </row>
    <row r="1485" spans="1:11" ht="45" customHeight="1">
      <c r="A1485" s="30">
        <v>105</v>
      </c>
      <c r="B1485" s="45" t="s">
        <v>2461</v>
      </c>
      <c r="C1485" s="45" t="s">
        <v>38</v>
      </c>
      <c r="D1485" s="46"/>
      <c r="E1485" s="47">
        <v>-72437</v>
      </c>
      <c r="F1485" s="48">
        <v>7</v>
      </c>
      <c r="G1485" s="45" t="s">
        <v>2462</v>
      </c>
      <c r="H1485" s="30" t="s">
        <v>2463</v>
      </c>
      <c r="I1485" s="45" t="s">
        <v>116</v>
      </c>
      <c r="J1485" s="45" t="s">
        <v>694</v>
      </c>
      <c r="K1485" s="50" t="s">
        <v>5611</v>
      </c>
    </row>
    <row r="1486" spans="1:11" ht="45" customHeight="1">
      <c r="A1486" s="30">
        <v>105</v>
      </c>
      <c r="B1486" s="45" t="s">
        <v>2455</v>
      </c>
      <c r="C1486" s="45" t="s">
        <v>38</v>
      </c>
      <c r="D1486" s="46"/>
      <c r="E1486" s="47">
        <v>46998</v>
      </c>
      <c r="F1486" s="48">
        <v>7</v>
      </c>
      <c r="G1486" s="45" t="s">
        <v>2456</v>
      </c>
      <c r="H1486" s="30" t="s">
        <v>2457</v>
      </c>
      <c r="I1486" s="45" t="s">
        <v>111</v>
      </c>
      <c r="J1486" s="45" t="s">
        <v>321</v>
      </c>
      <c r="K1486" s="50" t="str">
        <f>"00029502"</f>
        <v>00029502</v>
      </c>
    </row>
    <row r="1487" spans="1:11" ht="45" customHeight="1">
      <c r="A1487" s="30">
        <v>105</v>
      </c>
      <c r="B1487" s="45" t="s">
        <v>2458</v>
      </c>
      <c r="C1487" s="45" t="s">
        <v>38</v>
      </c>
      <c r="D1487" s="46"/>
      <c r="E1487" s="47">
        <v>72437</v>
      </c>
      <c r="F1487" s="48">
        <v>7</v>
      </c>
      <c r="G1487" s="49" t="s">
        <v>2459</v>
      </c>
      <c r="H1487" s="30" t="s">
        <v>2460</v>
      </c>
      <c r="I1487" s="45" t="s">
        <v>116</v>
      </c>
      <c r="J1487" s="45" t="s">
        <v>694</v>
      </c>
      <c r="K1487" s="50" t="str">
        <f>"00029730"</f>
        <v>00029730</v>
      </c>
    </row>
    <row r="1488" spans="1:11" ht="45" customHeight="1">
      <c r="A1488" s="30">
        <v>105</v>
      </c>
      <c r="B1488" s="45" t="s">
        <v>2458</v>
      </c>
      <c r="C1488" s="45" t="s">
        <v>38</v>
      </c>
      <c r="D1488" s="46"/>
      <c r="E1488" s="47">
        <v>-72437</v>
      </c>
      <c r="F1488" s="48">
        <v>7</v>
      </c>
      <c r="G1488" s="49" t="s">
        <v>2459</v>
      </c>
      <c r="H1488" s="30" t="s">
        <v>2460</v>
      </c>
      <c r="I1488" s="45" t="s">
        <v>116</v>
      </c>
      <c r="J1488" s="45" t="s">
        <v>694</v>
      </c>
      <c r="K1488" s="50" t="s">
        <v>5611</v>
      </c>
    </row>
    <row r="1489" spans="1:11" ht="45" customHeight="1">
      <c r="A1489" s="30"/>
      <c r="B1489" s="58" t="s">
        <v>664</v>
      </c>
      <c r="C1489" s="45"/>
      <c r="D1489" s="46"/>
      <c r="E1489" s="47">
        <f>SUM(E1479:E1488)</f>
        <v>268150</v>
      </c>
      <c r="F1489" s="48"/>
      <c r="G1489" s="45"/>
      <c r="H1489" s="30"/>
      <c r="I1489" s="45"/>
      <c r="J1489" s="45"/>
      <c r="K1489" s="50"/>
    </row>
    <row r="1490" spans="1:11" ht="45" customHeight="1">
      <c r="A1490" s="30"/>
      <c r="B1490" s="60" t="s">
        <v>202</v>
      </c>
      <c r="C1490" s="45"/>
      <c r="D1490" s="46"/>
      <c r="E1490" s="47"/>
      <c r="F1490" s="48"/>
      <c r="G1490" s="45"/>
      <c r="H1490" s="30"/>
      <c r="I1490" s="45"/>
      <c r="J1490" s="45"/>
      <c r="K1490" s="93"/>
    </row>
    <row r="1491" spans="1:11" ht="45" customHeight="1">
      <c r="A1491" s="30">
        <v>105</v>
      </c>
      <c r="B1491" s="45" t="s">
        <v>2443</v>
      </c>
      <c r="C1491" s="45" t="s">
        <v>38</v>
      </c>
      <c r="D1491" s="46"/>
      <c r="E1491" s="47">
        <v>26141</v>
      </c>
      <c r="F1491" s="48">
        <v>7</v>
      </c>
      <c r="G1491" s="49" t="s">
        <v>3399</v>
      </c>
      <c r="H1491" s="30" t="s">
        <v>2444</v>
      </c>
      <c r="I1491" s="45" t="s">
        <v>100</v>
      </c>
      <c r="J1491" s="45" t="s">
        <v>2445</v>
      </c>
      <c r="K1491" s="50" t="str">
        <f>"00031963"</f>
        <v>00031963</v>
      </c>
    </row>
    <row r="1492" spans="1:11" ht="45" customHeight="1">
      <c r="A1492" s="30">
        <v>105</v>
      </c>
      <c r="B1492" s="45" t="s">
        <v>1567</v>
      </c>
      <c r="C1492" s="45" t="s">
        <v>38</v>
      </c>
      <c r="D1492" s="46"/>
      <c r="E1492" s="47">
        <v>112127</v>
      </c>
      <c r="F1492" s="48">
        <v>7</v>
      </c>
      <c r="G1492" s="53" t="s">
        <v>2430</v>
      </c>
      <c r="H1492" s="30" t="s">
        <v>2431</v>
      </c>
      <c r="I1492" s="45" t="s">
        <v>180</v>
      </c>
      <c r="J1492" s="45" t="s">
        <v>181</v>
      </c>
      <c r="K1492" s="50" t="s">
        <v>3397</v>
      </c>
    </row>
    <row r="1493" spans="1:11" ht="45" customHeight="1">
      <c r="A1493" s="30">
        <v>105</v>
      </c>
      <c r="B1493" s="45" t="s">
        <v>328</v>
      </c>
      <c r="C1493" s="45" t="s">
        <v>38</v>
      </c>
      <c r="D1493" s="46"/>
      <c r="E1493" s="47">
        <v>31501</v>
      </c>
      <c r="F1493" s="48">
        <v>7</v>
      </c>
      <c r="G1493" s="76" t="s">
        <v>2429</v>
      </c>
      <c r="H1493" s="30" t="s">
        <v>1364</v>
      </c>
      <c r="I1493" s="45" t="s">
        <v>120</v>
      </c>
      <c r="J1493" s="45" t="s">
        <v>120</v>
      </c>
      <c r="K1493" s="50" t="str">
        <f>"00028916"</f>
        <v>00028916</v>
      </c>
    </row>
    <row r="1494" spans="1:11" ht="45" customHeight="1">
      <c r="A1494" s="30">
        <v>105</v>
      </c>
      <c r="B1494" s="45" t="s">
        <v>203</v>
      </c>
      <c r="C1494" s="45" t="s">
        <v>38</v>
      </c>
      <c r="D1494" s="46"/>
      <c r="E1494" s="47">
        <v>149304</v>
      </c>
      <c r="F1494" s="48">
        <v>7</v>
      </c>
      <c r="G1494" s="45" t="s">
        <v>2436</v>
      </c>
      <c r="H1494" s="30" t="s">
        <v>2437</v>
      </c>
      <c r="I1494" s="45" t="s">
        <v>116</v>
      </c>
      <c r="J1494" s="45" t="s">
        <v>117</v>
      </c>
      <c r="K1494" s="50" t="str">
        <f>"00030735"</f>
        <v>00030735</v>
      </c>
    </row>
    <row r="1495" spans="1:11" ht="45" customHeight="1">
      <c r="A1495" s="30">
        <v>105</v>
      </c>
      <c r="B1495" s="45" t="s">
        <v>1564</v>
      </c>
      <c r="C1495" s="45" t="s">
        <v>38</v>
      </c>
      <c r="D1495" s="46"/>
      <c r="E1495" s="47">
        <v>64852</v>
      </c>
      <c r="F1495" s="48">
        <v>7</v>
      </c>
      <c r="G1495" s="45" t="s">
        <v>2432</v>
      </c>
      <c r="H1495" s="30" t="s">
        <v>2433</v>
      </c>
      <c r="I1495" s="45" t="s">
        <v>92</v>
      </c>
      <c r="J1495" s="45" t="s">
        <v>110</v>
      </c>
      <c r="K1495" s="50" t="str">
        <f>"00024524"</f>
        <v>00024524</v>
      </c>
    </row>
    <row r="1496" spans="1:11" ht="45" customHeight="1">
      <c r="A1496" s="30">
        <v>105</v>
      </c>
      <c r="B1496" s="45" t="s">
        <v>2438</v>
      </c>
      <c r="C1496" s="45" t="s">
        <v>38</v>
      </c>
      <c r="D1496" s="46"/>
      <c r="E1496" s="47">
        <v>80000</v>
      </c>
      <c r="F1496" s="48">
        <v>7</v>
      </c>
      <c r="G1496" s="45" t="s">
        <v>3398</v>
      </c>
      <c r="H1496" s="30" t="s">
        <v>2441</v>
      </c>
      <c r="I1496" s="45" t="s">
        <v>116</v>
      </c>
      <c r="J1496" s="45" t="s">
        <v>117</v>
      </c>
      <c r="K1496" s="50" t="str">
        <f>"00031044"</f>
        <v>00031044</v>
      </c>
    </row>
    <row r="1497" spans="1:11" ht="45" customHeight="1">
      <c r="A1497" s="30">
        <v>105</v>
      </c>
      <c r="B1497" s="45" t="s">
        <v>51</v>
      </c>
      <c r="C1497" s="45" t="s">
        <v>38</v>
      </c>
      <c r="D1497" s="46"/>
      <c r="E1497" s="47">
        <v>124335</v>
      </c>
      <c r="F1497" s="48">
        <v>7</v>
      </c>
      <c r="G1497" s="45" t="s">
        <v>2434</v>
      </c>
      <c r="H1497" s="30" t="s">
        <v>2435</v>
      </c>
      <c r="I1497" s="45" t="s">
        <v>107</v>
      </c>
      <c r="J1497" s="45" t="s">
        <v>230</v>
      </c>
      <c r="K1497" s="50" t="str">
        <f>"00029201"</f>
        <v>00029201</v>
      </c>
    </row>
    <row r="1498" spans="1:11" ht="45" customHeight="1">
      <c r="A1498" s="30">
        <v>105</v>
      </c>
      <c r="B1498" s="45" t="s">
        <v>2438</v>
      </c>
      <c r="C1498" s="45" t="s">
        <v>38</v>
      </c>
      <c r="D1498" s="46"/>
      <c r="E1498" s="47">
        <v>123000</v>
      </c>
      <c r="F1498" s="48">
        <v>7</v>
      </c>
      <c r="G1498" s="45" t="s">
        <v>2439</v>
      </c>
      <c r="H1498" s="30" t="s">
        <v>2442</v>
      </c>
      <c r="I1498" s="45" t="s">
        <v>116</v>
      </c>
      <c r="J1498" s="45" t="s">
        <v>117</v>
      </c>
      <c r="K1498" s="50" t="str">
        <f>"00030990"</f>
        <v>00030990</v>
      </c>
    </row>
    <row r="1499" spans="1:11" ht="45" customHeight="1">
      <c r="A1499" s="30">
        <v>105</v>
      </c>
      <c r="B1499" s="45" t="s">
        <v>2438</v>
      </c>
      <c r="C1499" s="45" t="s">
        <v>38</v>
      </c>
      <c r="D1499" s="46"/>
      <c r="E1499" s="47">
        <v>101338</v>
      </c>
      <c r="F1499" s="48">
        <v>7</v>
      </c>
      <c r="G1499" s="45" t="s">
        <v>3398</v>
      </c>
      <c r="H1499" s="30" t="s">
        <v>2440</v>
      </c>
      <c r="I1499" s="45" t="s">
        <v>116</v>
      </c>
      <c r="J1499" s="45" t="s">
        <v>117</v>
      </c>
      <c r="K1499" s="50" t="str">
        <f>"00031337"</f>
        <v>00031337</v>
      </c>
    </row>
    <row r="1500" spans="1:11" ht="45" customHeight="1">
      <c r="A1500" s="30">
        <v>105</v>
      </c>
      <c r="B1500" s="45" t="s">
        <v>2438</v>
      </c>
      <c r="C1500" s="45" t="s">
        <v>38</v>
      </c>
      <c r="D1500" s="46"/>
      <c r="E1500" s="47">
        <v>123000</v>
      </c>
      <c r="F1500" s="48">
        <v>7</v>
      </c>
      <c r="G1500" s="45" t="s">
        <v>3398</v>
      </c>
      <c r="H1500" s="30" t="s">
        <v>2437</v>
      </c>
      <c r="I1500" s="45" t="s">
        <v>116</v>
      </c>
      <c r="J1500" s="45" t="s">
        <v>117</v>
      </c>
      <c r="K1500" s="50" t="str">
        <f>"00031014"</f>
        <v>00031014</v>
      </c>
    </row>
    <row r="1501" spans="1:11" ht="45" customHeight="1">
      <c r="A1501" s="30">
        <v>105</v>
      </c>
      <c r="B1501" s="45" t="s">
        <v>2447</v>
      </c>
      <c r="C1501" s="45" t="s">
        <v>38</v>
      </c>
      <c r="D1501" s="46"/>
      <c r="E1501" s="47">
        <v>857742</v>
      </c>
      <c r="F1501" s="48">
        <v>7</v>
      </c>
      <c r="G1501" s="45" t="s">
        <v>2448</v>
      </c>
      <c r="H1501" s="30" t="s">
        <v>2449</v>
      </c>
      <c r="I1501" s="45" t="s">
        <v>107</v>
      </c>
      <c r="J1501" s="51" t="s">
        <v>490</v>
      </c>
      <c r="K1501" s="50" t="str">
        <f>"00018598"</f>
        <v>00018598</v>
      </c>
    </row>
    <row r="1502" spans="1:11" ht="45" customHeight="1">
      <c r="A1502" s="30">
        <v>105</v>
      </c>
      <c r="B1502" s="45" t="s">
        <v>2446</v>
      </c>
      <c r="C1502" s="45" t="s">
        <v>38</v>
      </c>
      <c r="D1502" s="46"/>
      <c r="E1502" s="47">
        <v>53552</v>
      </c>
      <c r="F1502" s="48">
        <v>7</v>
      </c>
      <c r="G1502" s="76" t="s">
        <v>3400</v>
      </c>
      <c r="H1502" s="30" t="s">
        <v>1557</v>
      </c>
      <c r="I1502" s="51" t="s">
        <v>1558</v>
      </c>
      <c r="J1502" s="45" t="s">
        <v>1559</v>
      </c>
      <c r="K1502" s="50" t="str">
        <f>"00029963"</f>
        <v>00029963</v>
      </c>
    </row>
    <row r="1503" spans="1:11" ht="45" customHeight="1">
      <c r="A1503" s="36"/>
      <c r="B1503" s="58" t="s">
        <v>205</v>
      </c>
      <c r="C1503" s="102"/>
      <c r="D1503" s="46"/>
      <c r="E1503" s="103">
        <f>SUM(E1491:E1502)</f>
        <v>1846892</v>
      </c>
      <c r="F1503" s="104"/>
      <c r="G1503" s="102"/>
      <c r="H1503" s="36"/>
      <c r="I1503" s="102"/>
      <c r="J1503" s="102"/>
      <c r="K1503" s="105"/>
    </row>
    <row r="1504" spans="1:11" ht="45" customHeight="1">
      <c r="A1504" s="36"/>
      <c r="B1504" s="60" t="s">
        <v>711</v>
      </c>
      <c r="C1504" s="102"/>
      <c r="D1504" s="46"/>
      <c r="E1504" s="103"/>
      <c r="F1504" s="104"/>
      <c r="G1504" s="102"/>
      <c r="H1504" s="36"/>
      <c r="I1504" s="102"/>
      <c r="J1504" s="102"/>
      <c r="K1504" s="105"/>
    </row>
    <row r="1505" spans="1:11" ht="45" customHeight="1">
      <c r="A1505" s="30">
        <v>105</v>
      </c>
      <c r="B1505" s="45" t="s">
        <v>699</v>
      </c>
      <c r="C1505" s="45" t="s">
        <v>38</v>
      </c>
      <c r="D1505" s="46"/>
      <c r="E1505" s="47">
        <v>90000</v>
      </c>
      <c r="F1505" s="48">
        <v>7</v>
      </c>
      <c r="G1505" s="45" t="s">
        <v>3429</v>
      </c>
      <c r="H1505" s="30" t="s">
        <v>2465</v>
      </c>
      <c r="I1505" s="45" t="s">
        <v>165</v>
      </c>
      <c r="J1505" s="45" t="s">
        <v>695</v>
      </c>
      <c r="K1505" s="61" t="s">
        <v>3432</v>
      </c>
    </row>
    <row r="1506" spans="1:11" ht="45" customHeight="1">
      <c r="A1506" s="30">
        <v>105</v>
      </c>
      <c r="B1506" s="45" t="s">
        <v>699</v>
      </c>
      <c r="C1506" s="45" t="s">
        <v>38</v>
      </c>
      <c r="D1506" s="46"/>
      <c r="E1506" s="47">
        <v>100000</v>
      </c>
      <c r="F1506" s="48">
        <v>7</v>
      </c>
      <c r="G1506" s="45" t="s">
        <v>3430</v>
      </c>
      <c r="H1506" s="30" t="s">
        <v>2466</v>
      </c>
      <c r="I1506" s="45" t="s">
        <v>165</v>
      </c>
      <c r="J1506" s="45" t="s">
        <v>2467</v>
      </c>
      <c r="K1506" s="61" t="s">
        <v>3433</v>
      </c>
    </row>
    <row r="1507" spans="1:11" ht="45" customHeight="1">
      <c r="A1507" s="30">
        <v>105</v>
      </c>
      <c r="B1507" s="76" t="s">
        <v>712</v>
      </c>
      <c r="C1507" s="45" t="s">
        <v>38</v>
      </c>
      <c r="D1507" s="46"/>
      <c r="E1507" s="47">
        <v>85696</v>
      </c>
      <c r="F1507" s="48">
        <v>7</v>
      </c>
      <c r="G1507" s="45" t="s">
        <v>3431</v>
      </c>
      <c r="H1507" s="30" t="s">
        <v>2468</v>
      </c>
      <c r="I1507" s="45" t="s">
        <v>158</v>
      </c>
      <c r="J1507" s="45" t="s">
        <v>2469</v>
      </c>
      <c r="K1507" s="61" t="s">
        <v>3434</v>
      </c>
    </row>
    <row r="1508" spans="1:11" ht="45" customHeight="1">
      <c r="A1508" s="31"/>
      <c r="B1508" s="58" t="s">
        <v>710</v>
      </c>
      <c r="C1508" s="31"/>
      <c r="D1508" s="31"/>
      <c r="E1508" s="103">
        <f>SUM(E1505:E1507)</f>
        <v>275696</v>
      </c>
      <c r="F1508" s="31"/>
      <c r="G1508" s="31"/>
      <c r="H1508" s="31"/>
      <c r="I1508" s="31"/>
      <c r="J1508" s="31"/>
      <c r="K1508" s="86"/>
    </row>
    <row r="1509" spans="1:11" ht="45" customHeight="1">
      <c r="A1509" s="36"/>
      <c r="B1509" s="56" t="s">
        <v>356</v>
      </c>
      <c r="C1509" s="102"/>
      <c r="D1509" s="46"/>
      <c r="E1509" s="103"/>
      <c r="F1509" s="104"/>
      <c r="G1509" s="102"/>
      <c r="H1509" s="36"/>
      <c r="I1509" s="102"/>
      <c r="J1509" s="102"/>
      <c r="K1509" s="93"/>
    </row>
    <row r="1510" spans="1:11" ht="45" customHeight="1">
      <c r="A1510" s="30">
        <v>105</v>
      </c>
      <c r="B1510" s="45" t="s">
        <v>348</v>
      </c>
      <c r="C1510" s="45" t="s">
        <v>38</v>
      </c>
      <c r="D1510" s="46"/>
      <c r="E1510" s="47">
        <v>41674</v>
      </c>
      <c r="F1510" s="48">
        <v>7</v>
      </c>
      <c r="G1510" s="76" t="s">
        <v>4114</v>
      </c>
      <c r="H1510" s="30" t="s">
        <v>2551</v>
      </c>
      <c r="I1510" s="51" t="s">
        <v>107</v>
      </c>
      <c r="J1510" s="45" t="s">
        <v>2552</v>
      </c>
      <c r="K1510" s="50" t="str">
        <f>"00028254"</f>
        <v>00028254</v>
      </c>
    </row>
    <row r="1511" spans="1:11" ht="45" customHeight="1">
      <c r="A1511" s="30">
        <v>105</v>
      </c>
      <c r="B1511" s="45" t="s">
        <v>342</v>
      </c>
      <c r="C1511" s="45" t="s">
        <v>38</v>
      </c>
      <c r="D1511" s="46"/>
      <c r="E1511" s="47">
        <v>52983</v>
      </c>
      <c r="F1511" s="48">
        <v>7</v>
      </c>
      <c r="G1511" s="76" t="s">
        <v>4115</v>
      </c>
      <c r="H1511" s="30" t="s">
        <v>2554</v>
      </c>
      <c r="I1511" s="51" t="s">
        <v>92</v>
      </c>
      <c r="J1511" s="45" t="s">
        <v>2555</v>
      </c>
      <c r="K1511" s="50" t="str">
        <f>"00029217"</f>
        <v>00029217</v>
      </c>
    </row>
    <row r="1512" spans="1:11" ht="45" customHeight="1">
      <c r="A1512" s="30">
        <v>105</v>
      </c>
      <c r="B1512" s="45" t="s">
        <v>342</v>
      </c>
      <c r="C1512" s="45" t="s">
        <v>38</v>
      </c>
      <c r="D1512" s="46"/>
      <c r="E1512" s="47">
        <v>15994</v>
      </c>
      <c r="F1512" s="48">
        <v>7</v>
      </c>
      <c r="G1512" s="45" t="s">
        <v>4116</v>
      </c>
      <c r="H1512" s="30" t="s">
        <v>2544</v>
      </c>
      <c r="I1512" s="51" t="s">
        <v>92</v>
      </c>
      <c r="J1512" s="45" t="s">
        <v>110</v>
      </c>
      <c r="K1512" s="50" t="str">
        <f>"00030129"</f>
        <v>00030129</v>
      </c>
    </row>
    <row r="1513" spans="1:11" ht="45" customHeight="1">
      <c r="A1513" s="30">
        <v>105</v>
      </c>
      <c r="B1513" s="45" t="s">
        <v>338</v>
      </c>
      <c r="C1513" s="45" t="s">
        <v>38</v>
      </c>
      <c r="D1513" s="46"/>
      <c r="E1513" s="47">
        <v>144535</v>
      </c>
      <c r="F1513" s="48">
        <v>7</v>
      </c>
      <c r="G1513" s="52" t="s">
        <v>4117</v>
      </c>
      <c r="H1513" s="30" t="s">
        <v>1109</v>
      </c>
      <c r="I1513" s="51" t="s">
        <v>364</v>
      </c>
      <c r="J1513" s="45" t="s">
        <v>364</v>
      </c>
      <c r="K1513" s="50" t="str">
        <f>"00030101"</f>
        <v>00030101</v>
      </c>
    </row>
    <row r="1514" spans="1:11" ht="45" customHeight="1">
      <c r="A1514" s="30">
        <v>105</v>
      </c>
      <c r="B1514" s="45" t="s">
        <v>2531</v>
      </c>
      <c r="C1514" s="45" t="s">
        <v>38</v>
      </c>
      <c r="D1514" s="46"/>
      <c r="E1514" s="47">
        <v>30797</v>
      </c>
      <c r="F1514" s="48">
        <v>7</v>
      </c>
      <c r="G1514" s="76" t="s">
        <v>4118</v>
      </c>
      <c r="H1514" s="30" t="s">
        <v>2543</v>
      </c>
      <c r="I1514" s="51" t="s">
        <v>92</v>
      </c>
      <c r="J1514" s="45" t="s">
        <v>93</v>
      </c>
      <c r="K1514" s="50" t="str">
        <f>"00030251"</f>
        <v>00030251</v>
      </c>
    </row>
    <row r="1515" spans="1:11" ht="45" customHeight="1">
      <c r="A1515" s="30">
        <v>105</v>
      </c>
      <c r="B1515" s="45" t="s">
        <v>1832</v>
      </c>
      <c r="C1515" s="45" t="s">
        <v>38</v>
      </c>
      <c r="D1515" s="46"/>
      <c r="E1515" s="47">
        <v>111888</v>
      </c>
      <c r="F1515" s="48">
        <v>7</v>
      </c>
      <c r="G1515" s="76" t="s">
        <v>4119</v>
      </c>
      <c r="H1515" s="30" t="s">
        <v>2545</v>
      </c>
      <c r="I1515" s="51" t="s">
        <v>107</v>
      </c>
      <c r="J1515" s="49" t="s">
        <v>2546</v>
      </c>
      <c r="K1515" s="50" t="str">
        <f>"00028024"</f>
        <v>00028024</v>
      </c>
    </row>
    <row r="1516" spans="1:11" ht="45" customHeight="1">
      <c r="A1516" s="30">
        <v>105</v>
      </c>
      <c r="B1516" s="45" t="s">
        <v>342</v>
      </c>
      <c r="C1516" s="45" t="s">
        <v>38</v>
      </c>
      <c r="D1516" s="46"/>
      <c r="E1516" s="47">
        <v>75292</v>
      </c>
      <c r="F1516" s="48">
        <v>7</v>
      </c>
      <c r="G1516" s="76" t="s">
        <v>4120</v>
      </c>
      <c r="H1516" s="30" t="s">
        <v>2556</v>
      </c>
      <c r="I1516" s="51" t="s">
        <v>92</v>
      </c>
      <c r="J1516" s="45" t="s">
        <v>2557</v>
      </c>
      <c r="K1516" s="50" t="str">
        <f>"00029368"</f>
        <v>00029368</v>
      </c>
    </row>
    <row r="1517" spans="1:11" ht="45" customHeight="1">
      <c r="A1517" s="30">
        <v>105</v>
      </c>
      <c r="B1517" s="45" t="s">
        <v>362</v>
      </c>
      <c r="C1517" s="45" t="s">
        <v>38</v>
      </c>
      <c r="D1517" s="46"/>
      <c r="E1517" s="47">
        <v>39372</v>
      </c>
      <c r="F1517" s="48">
        <v>7</v>
      </c>
      <c r="G1517" s="76" t="s">
        <v>4121</v>
      </c>
      <c r="H1517" s="30" t="s">
        <v>2616</v>
      </c>
      <c r="I1517" s="51" t="s">
        <v>92</v>
      </c>
      <c r="J1517" s="45" t="s">
        <v>2617</v>
      </c>
      <c r="K1517" s="50" t="str">
        <f>"00031015"</f>
        <v>00031015</v>
      </c>
    </row>
    <row r="1518" spans="1:11" ht="45" customHeight="1">
      <c r="A1518" s="30">
        <v>105</v>
      </c>
      <c r="B1518" s="45" t="s">
        <v>342</v>
      </c>
      <c r="C1518" s="45" t="s">
        <v>38</v>
      </c>
      <c r="D1518" s="46"/>
      <c r="E1518" s="47">
        <v>36196</v>
      </c>
      <c r="F1518" s="48">
        <v>7</v>
      </c>
      <c r="G1518" s="76" t="s">
        <v>4121</v>
      </c>
      <c r="H1518" s="30" t="s">
        <v>2616</v>
      </c>
      <c r="I1518" s="51" t="s">
        <v>92</v>
      </c>
      <c r="J1518" s="45" t="s">
        <v>2617</v>
      </c>
      <c r="K1518" s="50" t="str">
        <f>"00030423"</f>
        <v>00030423</v>
      </c>
    </row>
    <row r="1519" spans="1:11" ht="45" customHeight="1">
      <c r="A1519" s="30">
        <v>105</v>
      </c>
      <c r="B1519" s="45" t="s">
        <v>342</v>
      </c>
      <c r="C1519" s="45" t="s">
        <v>38</v>
      </c>
      <c r="D1519" s="46"/>
      <c r="E1519" s="47">
        <v>75845</v>
      </c>
      <c r="F1519" s="48">
        <v>7</v>
      </c>
      <c r="G1519" s="45" t="s">
        <v>4122</v>
      </c>
      <c r="H1519" s="30" t="s">
        <v>2615</v>
      </c>
      <c r="I1519" s="51" t="s">
        <v>107</v>
      </c>
      <c r="J1519" s="45" t="s">
        <v>336</v>
      </c>
      <c r="K1519" s="50" t="str">
        <f>"00030715"</f>
        <v>00030715</v>
      </c>
    </row>
    <row r="1520" spans="1:11" ht="45" customHeight="1">
      <c r="A1520" s="30">
        <v>105</v>
      </c>
      <c r="B1520" s="45" t="s">
        <v>339</v>
      </c>
      <c r="C1520" s="45" t="s">
        <v>38</v>
      </c>
      <c r="D1520" s="46"/>
      <c r="E1520" s="47">
        <v>32302</v>
      </c>
      <c r="F1520" s="48">
        <v>7</v>
      </c>
      <c r="G1520" s="76" t="s">
        <v>4121</v>
      </c>
      <c r="H1520" s="30" t="s">
        <v>2619</v>
      </c>
      <c r="I1520" s="51" t="s">
        <v>92</v>
      </c>
      <c r="J1520" s="45" t="s">
        <v>2617</v>
      </c>
      <c r="K1520" s="50" t="str">
        <f>"00030431"</f>
        <v>00030431</v>
      </c>
    </row>
    <row r="1521" spans="1:11" ht="45" customHeight="1">
      <c r="A1521" s="30">
        <v>105</v>
      </c>
      <c r="B1521" s="45" t="s">
        <v>338</v>
      </c>
      <c r="C1521" s="45" t="s">
        <v>38</v>
      </c>
      <c r="D1521" s="46"/>
      <c r="E1521" s="47">
        <v>197187</v>
      </c>
      <c r="F1521" s="48">
        <v>7</v>
      </c>
      <c r="G1521" s="52" t="s">
        <v>4123</v>
      </c>
      <c r="H1521" s="30" t="s">
        <v>2618</v>
      </c>
      <c r="I1521" s="51" t="s">
        <v>364</v>
      </c>
      <c r="J1521" s="45" t="s">
        <v>364</v>
      </c>
      <c r="K1521" s="50" t="str">
        <f>"00030128"</f>
        <v>00030128</v>
      </c>
    </row>
    <row r="1522" spans="1:11" ht="45" customHeight="1">
      <c r="A1522" s="30">
        <v>105</v>
      </c>
      <c r="B1522" s="45" t="s">
        <v>338</v>
      </c>
      <c r="C1522" s="45" t="s">
        <v>38</v>
      </c>
      <c r="D1522" s="46"/>
      <c r="E1522" s="47">
        <v>167588</v>
      </c>
      <c r="F1522" s="48">
        <v>7</v>
      </c>
      <c r="G1522" s="52" t="s">
        <v>4124</v>
      </c>
      <c r="H1522" s="30" t="s">
        <v>2618</v>
      </c>
      <c r="I1522" s="51" t="s">
        <v>364</v>
      </c>
      <c r="J1522" s="45" t="s">
        <v>364</v>
      </c>
      <c r="K1522" s="50" t="str">
        <f>"00030126"</f>
        <v>00030126</v>
      </c>
    </row>
    <row r="1523" spans="1:11" ht="45" customHeight="1">
      <c r="A1523" s="30">
        <v>105</v>
      </c>
      <c r="B1523" s="45" t="s">
        <v>342</v>
      </c>
      <c r="C1523" s="45" t="s">
        <v>38</v>
      </c>
      <c r="D1523" s="46"/>
      <c r="E1523" s="47">
        <v>28000</v>
      </c>
      <c r="F1523" s="48">
        <v>7</v>
      </c>
      <c r="G1523" s="76" t="s">
        <v>4121</v>
      </c>
      <c r="H1523" s="30" t="s">
        <v>2624</v>
      </c>
      <c r="I1523" s="51" t="s">
        <v>92</v>
      </c>
      <c r="J1523" s="45" t="s">
        <v>2617</v>
      </c>
      <c r="K1523" s="50" t="str">
        <f>"00030303"</f>
        <v>00030303</v>
      </c>
    </row>
    <row r="1524" spans="1:11" ht="45" customHeight="1">
      <c r="A1524" s="30">
        <v>105</v>
      </c>
      <c r="B1524" s="45" t="s">
        <v>342</v>
      </c>
      <c r="C1524" s="45" t="s">
        <v>38</v>
      </c>
      <c r="D1524" s="46"/>
      <c r="E1524" s="47">
        <v>35764</v>
      </c>
      <c r="F1524" s="48">
        <v>7</v>
      </c>
      <c r="G1524" s="76" t="s">
        <v>4125</v>
      </c>
      <c r="H1524" s="30" t="s">
        <v>2090</v>
      </c>
      <c r="I1524" s="51" t="s">
        <v>92</v>
      </c>
      <c r="J1524" s="45" t="s">
        <v>2617</v>
      </c>
      <c r="K1524" s="50" t="str">
        <f>"00030449"</f>
        <v>00030449</v>
      </c>
    </row>
    <row r="1525" spans="1:11" ht="45" customHeight="1">
      <c r="A1525" s="30">
        <v>105</v>
      </c>
      <c r="B1525" s="45" t="s">
        <v>342</v>
      </c>
      <c r="C1525" s="45" t="s">
        <v>38</v>
      </c>
      <c r="D1525" s="46"/>
      <c r="E1525" s="47">
        <v>49552</v>
      </c>
      <c r="F1525" s="48">
        <v>7</v>
      </c>
      <c r="G1525" s="76" t="s">
        <v>4121</v>
      </c>
      <c r="H1525" s="30" t="s">
        <v>2033</v>
      </c>
      <c r="I1525" s="51" t="s">
        <v>92</v>
      </c>
      <c r="J1525" s="45" t="s">
        <v>2617</v>
      </c>
      <c r="K1525" s="50" t="str">
        <f>"00030426"</f>
        <v>00030426</v>
      </c>
    </row>
    <row r="1526" spans="1:11" ht="45" customHeight="1">
      <c r="A1526" s="30">
        <v>105</v>
      </c>
      <c r="B1526" s="45" t="s">
        <v>342</v>
      </c>
      <c r="C1526" s="45" t="s">
        <v>38</v>
      </c>
      <c r="D1526" s="46"/>
      <c r="E1526" s="47">
        <v>31722</v>
      </c>
      <c r="F1526" s="48">
        <v>7</v>
      </c>
      <c r="G1526" s="76" t="s">
        <v>4121</v>
      </c>
      <c r="H1526" s="30" t="s">
        <v>1003</v>
      </c>
      <c r="I1526" s="51" t="s">
        <v>92</v>
      </c>
      <c r="J1526" s="45" t="s">
        <v>2617</v>
      </c>
      <c r="K1526" s="50" t="str">
        <f>"00030300"</f>
        <v>00030300</v>
      </c>
    </row>
    <row r="1527" spans="1:11" ht="45" customHeight="1">
      <c r="A1527" s="30">
        <v>105</v>
      </c>
      <c r="B1527" s="45" t="s">
        <v>342</v>
      </c>
      <c r="C1527" s="45" t="s">
        <v>38</v>
      </c>
      <c r="D1527" s="46"/>
      <c r="E1527" s="47">
        <v>87314</v>
      </c>
      <c r="F1527" s="48">
        <v>7</v>
      </c>
      <c r="G1527" s="76" t="s">
        <v>4122</v>
      </c>
      <c r="H1527" s="30" t="s">
        <v>2615</v>
      </c>
      <c r="I1527" s="51" t="s">
        <v>107</v>
      </c>
      <c r="J1527" s="45" t="s">
        <v>336</v>
      </c>
      <c r="K1527" s="50" t="str">
        <f>"00030622"</f>
        <v>00030622</v>
      </c>
    </row>
    <row r="1528" spans="1:11" ht="45" customHeight="1">
      <c r="A1528" s="30">
        <v>105</v>
      </c>
      <c r="B1528" s="45" t="s">
        <v>1853</v>
      </c>
      <c r="C1528" s="45" t="s">
        <v>38</v>
      </c>
      <c r="D1528" s="46"/>
      <c r="E1528" s="47">
        <v>32838</v>
      </c>
      <c r="F1528" s="48">
        <v>7</v>
      </c>
      <c r="G1528" s="76" t="s">
        <v>4126</v>
      </c>
      <c r="H1528" s="30" t="s">
        <v>2625</v>
      </c>
      <c r="I1528" s="51" t="s">
        <v>92</v>
      </c>
      <c r="J1528" s="45" t="s">
        <v>2626</v>
      </c>
      <c r="K1528" s="50" t="str">
        <f>"00029979"</f>
        <v>00029979</v>
      </c>
    </row>
    <row r="1529" spans="1:11" ht="45" customHeight="1">
      <c r="A1529" s="30">
        <v>105</v>
      </c>
      <c r="B1529" s="45" t="s">
        <v>1862</v>
      </c>
      <c r="C1529" s="45" t="s">
        <v>38</v>
      </c>
      <c r="D1529" s="46"/>
      <c r="E1529" s="47">
        <v>43756</v>
      </c>
      <c r="F1529" s="48">
        <v>7</v>
      </c>
      <c r="G1529" s="76" t="s">
        <v>4121</v>
      </c>
      <c r="H1529" s="30" t="s">
        <v>992</v>
      </c>
      <c r="I1529" s="51" t="s">
        <v>92</v>
      </c>
      <c r="J1529" s="45" t="s">
        <v>2617</v>
      </c>
      <c r="K1529" s="50" t="str">
        <f>"00030702"</f>
        <v>00030702</v>
      </c>
    </row>
    <row r="1530" spans="1:11" ht="45" customHeight="1">
      <c r="A1530" s="30">
        <v>105</v>
      </c>
      <c r="B1530" s="45" t="s">
        <v>1862</v>
      </c>
      <c r="C1530" s="45" t="s">
        <v>38</v>
      </c>
      <c r="D1530" s="46"/>
      <c r="E1530" s="47">
        <v>36535</v>
      </c>
      <c r="F1530" s="48">
        <v>7</v>
      </c>
      <c r="G1530" s="76" t="s">
        <v>4121</v>
      </c>
      <c r="H1530" s="30" t="s">
        <v>2090</v>
      </c>
      <c r="I1530" s="51" t="s">
        <v>92</v>
      </c>
      <c r="J1530" s="45" t="s">
        <v>2617</v>
      </c>
      <c r="K1530" s="50" t="str">
        <f>"00030701"</f>
        <v>00030701</v>
      </c>
    </row>
    <row r="1531" spans="1:11" ht="45" customHeight="1">
      <c r="A1531" s="30">
        <v>105</v>
      </c>
      <c r="B1531" s="45" t="s">
        <v>342</v>
      </c>
      <c r="C1531" s="45" t="s">
        <v>38</v>
      </c>
      <c r="D1531" s="46"/>
      <c r="E1531" s="47">
        <v>35828</v>
      </c>
      <c r="F1531" s="48">
        <v>7</v>
      </c>
      <c r="G1531" s="76" t="s">
        <v>4127</v>
      </c>
      <c r="H1531" s="30" t="s">
        <v>2627</v>
      </c>
      <c r="I1531" s="51" t="s">
        <v>91</v>
      </c>
      <c r="J1531" s="45" t="s">
        <v>659</v>
      </c>
      <c r="K1531" s="50" t="str">
        <f>"00029768"</f>
        <v>00029768</v>
      </c>
    </row>
    <row r="1532" spans="1:11" ht="45" customHeight="1">
      <c r="A1532" s="30">
        <v>105</v>
      </c>
      <c r="B1532" s="45" t="s">
        <v>339</v>
      </c>
      <c r="C1532" s="45" t="s">
        <v>38</v>
      </c>
      <c r="D1532" s="46"/>
      <c r="E1532" s="47">
        <v>18573</v>
      </c>
      <c r="F1532" s="48">
        <v>7</v>
      </c>
      <c r="G1532" s="53" t="s">
        <v>4128</v>
      </c>
      <c r="H1532" s="30" t="s">
        <v>2622</v>
      </c>
      <c r="I1532" s="51" t="s">
        <v>216</v>
      </c>
      <c r="J1532" s="45" t="s">
        <v>2623</v>
      </c>
      <c r="K1532" s="50" t="str">
        <f>"00031709"</f>
        <v>00031709</v>
      </c>
    </row>
    <row r="1533" spans="1:11" ht="45" customHeight="1">
      <c r="A1533" s="30">
        <v>105</v>
      </c>
      <c r="B1533" s="45" t="s">
        <v>1834</v>
      </c>
      <c r="C1533" s="45" t="s">
        <v>38</v>
      </c>
      <c r="D1533" s="46"/>
      <c r="E1533" s="47">
        <v>27052</v>
      </c>
      <c r="F1533" s="48">
        <v>7</v>
      </c>
      <c r="G1533" s="49" t="s">
        <v>4129</v>
      </c>
      <c r="H1533" s="30" t="s">
        <v>2567</v>
      </c>
      <c r="I1533" s="51" t="s">
        <v>92</v>
      </c>
      <c r="J1533" s="45" t="s">
        <v>2568</v>
      </c>
      <c r="K1533" s="50" t="str">
        <f>"00031389"</f>
        <v>00031389</v>
      </c>
    </row>
    <row r="1534" spans="1:11" ht="45" customHeight="1">
      <c r="A1534" s="30">
        <v>105</v>
      </c>
      <c r="B1534" s="45" t="s">
        <v>370</v>
      </c>
      <c r="C1534" s="45" t="s">
        <v>38</v>
      </c>
      <c r="D1534" s="46"/>
      <c r="E1534" s="47">
        <v>82746</v>
      </c>
      <c r="F1534" s="48">
        <v>7</v>
      </c>
      <c r="G1534" s="45" t="s">
        <v>4130</v>
      </c>
      <c r="H1534" s="30" t="s">
        <v>2620</v>
      </c>
      <c r="I1534" s="51" t="s">
        <v>107</v>
      </c>
      <c r="J1534" s="45" t="s">
        <v>1629</v>
      </c>
      <c r="K1534" s="50" t="str">
        <f>"00030790"</f>
        <v>00030790</v>
      </c>
    </row>
    <row r="1535" spans="1:11" ht="45" customHeight="1">
      <c r="A1535" s="30">
        <v>105</v>
      </c>
      <c r="B1535" s="45" t="s">
        <v>338</v>
      </c>
      <c r="C1535" s="45" t="s">
        <v>38</v>
      </c>
      <c r="D1535" s="46"/>
      <c r="E1535" s="47">
        <v>110633</v>
      </c>
      <c r="F1535" s="48">
        <v>7</v>
      </c>
      <c r="G1535" s="76" t="s">
        <v>4131</v>
      </c>
      <c r="H1535" s="30" t="s">
        <v>2559</v>
      </c>
      <c r="I1535" s="51" t="s">
        <v>107</v>
      </c>
      <c r="J1535" s="53" t="s">
        <v>2560</v>
      </c>
      <c r="K1535" s="50" t="str">
        <f>"00026944"</f>
        <v>00026944</v>
      </c>
    </row>
    <row r="1536" spans="1:11" ht="45" customHeight="1">
      <c r="A1536" s="30">
        <v>105</v>
      </c>
      <c r="B1536" s="45" t="s">
        <v>2531</v>
      </c>
      <c r="C1536" s="45" t="s">
        <v>38</v>
      </c>
      <c r="D1536" s="46"/>
      <c r="E1536" s="47">
        <v>34917</v>
      </c>
      <c r="F1536" s="48">
        <v>7</v>
      </c>
      <c r="G1536" s="76" t="s">
        <v>4120</v>
      </c>
      <c r="H1536" s="30" t="s">
        <v>2562</v>
      </c>
      <c r="I1536" s="51" t="s">
        <v>92</v>
      </c>
      <c r="J1536" s="45" t="s">
        <v>2557</v>
      </c>
      <c r="K1536" s="50" t="str">
        <f>"00028556"</f>
        <v>00028556</v>
      </c>
    </row>
    <row r="1537" spans="1:11" ht="45" customHeight="1">
      <c r="A1537" s="30">
        <v>105</v>
      </c>
      <c r="B1537" s="45" t="s">
        <v>2531</v>
      </c>
      <c r="C1537" s="45" t="s">
        <v>38</v>
      </c>
      <c r="D1537" s="46"/>
      <c r="E1537" s="47">
        <v>43295</v>
      </c>
      <c r="F1537" s="48">
        <v>7</v>
      </c>
      <c r="G1537" s="76" t="s">
        <v>4132</v>
      </c>
      <c r="H1537" s="30" t="s">
        <v>2561</v>
      </c>
      <c r="I1537" s="51" t="s">
        <v>92</v>
      </c>
      <c r="J1537" s="45" t="s">
        <v>2555</v>
      </c>
      <c r="K1537" s="50" t="str">
        <f>"00031627"</f>
        <v>00031627</v>
      </c>
    </row>
    <row r="1538" spans="1:11" ht="45" customHeight="1">
      <c r="A1538" s="30">
        <v>105</v>
      </c>
      <c r="B1538" s="45" t="s">
        <v>2563</v>
      </c>
      <c r="C1538" s="45" t="s">
        <v>38</v>
      </c>
      <c r="D1538" s="46"/>
      <c r="E1538" s="47">
        <v>99018</v>
      </c>
      <c r="F1538" s="48">
        <v>7</v>
      </c>
      <c r="G1538" s="76" t="s">
        <v>4133</v>
      </c>
      <c r="H1538" s="30" t="s">
        <v>2564</v>
      </c>
      <c r="I1538" s="51" t="s">
        <v>1830</v>
      </c>
      <c r="J1538" s="49" t="s">
        <v>2565</v>
      </c>
      <c r="K1538" s="50" t="str">
        <f>"00031227"</f>
        <v>00031227</v>
      </c>
    </row>
    <row r="1539" spans="1:11" ht="45" customHeight="1">
      <c r="A1539" s="30">
        <v>105</v>
      </c>
      <c r="B1539" s="45" t="s">
        <v>1834</v>
      </c>
      <c r="C1539" s="45" t="s">
        <v>38</v>
      </c>
      <c r="D1539" s="46"/>
      <c r="E1539" s="47">
        <v>108642</v>
      </c>
      <c r="F1539" s="48">
        <v>7</v>
      </c>
      <c r="G1539" s="45" t="s">
        <v>4134</v>
      </c>
      <c r="H1539" s="30" t="s">
        <v>1091</v>
      </c>
      <c r="I1539" s="51" t="s">
        <v>107</v>
      </c>
      <c r="J1539" s="45" t="s">
        <v>336</v>
      </c>
      <c r="K1539" s="50" t="str">
        <f>"00030906"</f>
        <v>00030906</v>
      </c>
    </row>
    <row r="1540" spans="1:11" ht="45" customHeight="1">
      <c r="A1540" s="30">
        <v>105</v>
      </c>
      <c r="B1540" s="45" t="s">
        <v>1862</v>
      </c>
      <c r="C1540" s="45" t="s">
        <v>38</v>
      </c>
      <c r="D1540" s="46"/>
      <c r="E1540" s="47">
        <v>36419</v>
      </c>
      <c r="F1540" s="48">
        <v>7</v>
      </c>
      <c r="G1540" s="45" t="s">
        <v>4135</v>
      </c>
      <c r="H1540" s="30" t="s">
        <v>2570</v>
      </c>
      <c r="I1540" s="51" t="s">
        <v>92</v>
      </c>
      <c r="J1540" s="45" t="s">
        <v>110</v>
      </c>
      <c r="K1540" s="50" t="str">
        <f>"00031476"</f>
        <v>00031476</v>
      </c>
    </row>
    <row r="1541" spans="1:11" ht="45" customHeight="1">
      <c r="A1541" s="30">
        <v>105</v>
      </c>
      <c r="B1541" s="45" t="s">
        <v>1853</v>
      </c>
      <c r="C1541" s="45" t="s">
        <v>38</v>
      </c>
      <c r="D1541" s="46"/>
      <c r="E1541" s="47">
        <v>7896</v>
      </c>
      <c r="F1541" s="48">
        <v>7</v>
      </c>
      <c r="G1541" s="45" t="s">
        <v>4136</v>
      </c>
      <c r="H1541" s="30" t="s">
        <v>2571</v>
      </c>
      <c r="I1541" s="51" t="s">
        <v>92</v>
      </c>
      <c r="J1541" s="45" t="s">
        <v>1846</v>
      </c>
      <c r="K1541" s="50" t="str">
        <f>"00031391"</f>
        <v>00031391</v>
      </c>
    </row>
    <row r="1542" spans="1:11" ht="45" customHeight="1">
      <c r="A1542" s="30">
        <v>105</v>
      </c>
      <c r="B1542" s="45" t="s">
        <v>342</v>
      </c>
      <c r="C1542" s="45" t="s">
        <v>38</v>
      </c>
      <c r="D1542" s="46"/>
      <c r="E1542" s="47">
        <v>59319</v>
      </c>
      <c r="F1542" s="48">
        <v>7</v>
      </c>
      <c r="G1542" s="76" t="s">
        <v>4137</v>
      </c>
      <c r="H1542" s="30" t="s">
        <v>2558</v>
      </c>
      <c r="I1542" s="51" t="s">
        <v>2572</v>
      </c>
      <c r="J1542" s="45" t="s">
        <v>2573</v>
      </c>
      <c r="K1542" s="50" t="str">
        <f>"00030618"</f>
        <v>00030618</v>
      </c>
    </row>
    <row r="1543" spans="1:11" ht="45" customHeight="1">
      <c r="A1543" s="30">
        <v>105</v>
      </c>
      <c r="B1543" s="45" t="s">
        <v>342</v>
      </c>
      <c r="C1543" s="45" t="s">
        <v>38</v>
      </c>
      <c r="D1543" s="46"/>
      <c r="E1543" s="47">
        <v>64908</v>
      </c>
      <c r="F1543" s="48">
        <v>7</v>
      </c>
      <c r="G1543" s="51" t="s">
        <v>4138</v>
      </c>
      <c r="H1543" s="30" t="s">
        <v>2566</v>
      </c>
      <c r="I1543" s="51" t="s">
        <v>107</v>
      </c>
      <c r="J1543" s="45" t="s">
        <v>363</v>
      </c>
      <c r="K1543" s="50" t="str">
        <f>"00030806"</f>
        <v>00030806</v>
      </c>
    </row>
    <row r="1544" spans="1:11" ht="45" customHeight="1">
      <c r="A1544" s="30">
        <v>105</v>
      </c>
      <c r="B1544" s="45" t="s">
        <v>342</v>
      </c>
      <c r="C1544" s="45" t="s">
        <v>38</v>
      </c>
      <c r="D1544" s="46"/>
      <c r="E1544" s="47">
        <v>70715</v>
      </c>
      <c r="F1544" s="48">
        <v>7</v>
      </c>
      <c r="G1544" s="51" t="s">
        <v>4138</v>
      </c>
      <c r="H1544" s="30" t="s">
        <v>1996</v>
      </c>
      <c r="I1544" s="51" t="s">
        <v>107</v>
      </c>
      <c r="J1544" s="45" t="s">
        <v>363</v>
      </c>
      <c r="K1544" s="50" t="str">
        <f>"00030704"</f>
        <v>00030704</v>
      </c>
    </row>
    <row r="1545" spans="1:11" ht="45" customHeight="1">
      <c r="A1545" s="30">
        <v>105</v>
      </c>
      <c r="B1545" s="45" t="s">
        <v>342</v>
      </c>
      <c r="C1545" s="45" t="s">
        <v>38</v>
      </c>
      <c r="D1545" s="46"/>
      <c r="E1545" s="47">
        <v>70472</v>
      </c>
      <c r="F1545" s="48">
        <v>7</v>
      </c>
      <c r="G1545" s="51" t="s">
        <v>4138</v>
      </c>
      <c r="H1545" s="30" t="s">
        <v>1996</v>
      </c>
      <c r="I1545" s="51" t="s">
        <v>107</v>
      </c>
      <c r="J1545" s="45" t="s">
        <v>363</v>
      </c>
      <c r="K1545" s="50" t="str">
        <f>"00030703"</f>
        <v>00030703</v>
      </c>
    </row>
    <row r="1546" spans="1:11" ht="45" customHeight="1">
      <c r="A1546" s="30">
        <v>105</v>
      </c>
      <c r="B1546" s="45" t="s">
        <v>2531</v>
      </c>
      <c r="C1546" s="45" t="s">
        <v>38</v>
      </c>
      <c r="D1546" s="46"/>
      <c r="E1546" s="47">
        <v>36976</v>
      </c>
      <c r="F1546" s="48">
        <v>7</v>
      </c>
      <c r="G1546" s="76" t="s">
        <v>4132</v>
      </c>
      <c r="H1546" s="30" t="s">
        <v>2567</v>
      </c>
      <c r="I1546" s="51" t="s">
        <v>92</v>
      </c>
      <c r="J1546" s="45" t="s">
        <v>2569</v>
      </c>
      <c r="K1546" s="50" t="str">
        <f>"00031622"</f>
        <v>00031622</v>
      </c>
    </row>
    <row r="1547" spans="1:11" ht="45" customHeight="1">
      <c r="A1547" s="30">
        <v>105</v>
      </c>
      <c r="B1547" s="45" t="s">
        <v>370</v>
      </c>
      <c r="C1547" s="45" t="s">
        <v>38</v>
      </c>
      <c r="D1547" s="46"/>
      <c r="E1547" s="47">
        <v>80833</v>
      </c>
      <c r="F1547" s="48">
        <v>7</v>
      </c>
      <c r="G1547" s="45" t="s">
        <v>4139</v>
      </c>
      <c r="H1547" s="30" t="s">
        <v>2558</v>
      </c>
      <c r="I1547" s="51" t="s">
        <v>107</v>
      </c>
      <c r="J1547" s="45" t="s">
        <v>1629</v>
      </c>
      <c r="K1547" s="50" t="str">
        <f>"00031023"</f>
        <v>00031023</v>
      </c>
    </row>
    <row r="1548" spans="1:11" ht="45" customHeight="1">
      <c r="A1548" s="30">
        <v>105</v>
      </c>
      <c r="B1548" s="45" t="s">
        <v>1832</v>
      </c>
      <c r="C1548" s="45" t="s">
        <v>38</v>
      </c>
      <c r="D1548" s="46"/>
      <c r="E1548" s="47">
        <v>197936</v>
      </c>
      <c r="F1548" s="48">
        <v>7</v>
      </c>
      <c r="G1548" s="55" t="s">
        <v>4140</v>
      </c>
      <c r="H1548" s="30" t="s">
        <v>2575</v>
      </c>
      <c r="I1548" s="51" t="s">
        <v>364</v>
      </c>
      <c r="J1548" s="45" t="s">
        <v>364</v>
      </c>
      <c r="K1548" s="50" t="str">
        <f>"00030892"</f>
        <v>00030892</v>
      </c>
    </row>
    <row r="1549" spans="1:11" ht="45" customHeight="1">
      <c r="A1549" s="30">
        <v>105</v>
      </c>
      <c r="B1549" s="45" t="s">
        <v>338</v>
      </c>
      <c r="C1549" s="45" t="s">
        <v>38</v>
      </c>
      <c r="D1549" s="46"/>
      <c r="E1549" s="47">
        <v>294368</v>
      </c>
      <c r="F1549" s="48">
        <v>7</v>
      </c>
      <c r="G1549" s="55" t="s">
        <v>4117</v>
      </c>
      <c r="H1549" s="30" t="s">
        <v>2583</v>
      </c>
      <c r="I1549" s="51" t="s">
        <v>364</v>
      </c>
      <c r="J1549" s="45" t="s">
        <v>364</v>
      </c>
      <c r="K1549" s="50" t="str">
        <f>"00030708"</f>
        <v>00030708</v>
      </c>
    </row>
    <row r="1550" spans="1:11" ht="45" customHeight="1">
      <c r="A1550" s="30">
        <v>105</v>
      </c>
      <c r="B1550" s="45" t="s">
        <v>1877</v>
      </c>
      <c r="C1550" s="45" t="s">
        <v>38</v>
      </c>
      <c r="D1550" s="46"/>
      <c r="E1550" s="47">
        <v>60914</v>
      </c>
      <c r="F1550" s="48">
        <v>7</v>
      </c>
      <c r="G1550" s="45" t="s">
        <v>4141</v>
      </c>
      <c r="H1550" s="30" t="s">
        <v>2585</v>
      </c>
      <c r="I1550" s="51" t="s">
        <v>92</v>
      </c>
      <c r="J1550" s="45" t="s">
        <v>2586</v>
      </c>
      <c r="K1550" s="50" t="str">
        <f>"00031898"</f>
        <v>00031898</v>
      </c>
    </row>
    <row r="1551" spans="1:11" ht="45" customHeight="1">
      <c r="A1551" s="30">
        <v>105</v>
      </c>
      <c r="B1551" s="45" t="s">
        <v>2531</v>
      </c>
      <c r="C1551" s="45" t="s">
        <v>38</v>
      </c>
      <c r="D1551" s="46"/>
      <c r="E1551" s="47">
        <v>25412</v>
      </c>
      <c r="F1551" s="48">
        <v>7</v>
      </c>
      <c r="G1551" s="76" t="s">
        <v>4142</v>
      </c>
      <c r="H1551" s="30" t="s">
        <v>2584</v>
      </c>
      <c r="I1551" s="51" t="s">
        <v>92</v>
      </c>
      <c r="J1551" s="45" t="s">
        <v>353</v>
      </c>
      <c r="K1551" s="50" t="str">
        <f>"00032089"</f>
        <v>00032089</v>
      </c>
    </row>
    <row r="1552" spans="1:11" ht="45" customHeight="1">
      <c r="A1552" s="30">
        <v>105</v>
      </c>
      <c r="B1552" s="45" t="s">
        <v>2531</v>
      </c>
      <c r="C1552" s="45" t="s">
        <v>38</v>
      </c>
      <c r="D1552" s="46"/>
      <c r="E1552" s="47">
        <v>34410</v>
      </c>
      <c r="F1552" s="48">
        <v>7</v>
      </c>
      <c r="G1552" s="76" t="s">
        <v>4143</v>
      </c>
      <c r="H1552" s="30" t="s">
        <v>2584</v>
      </c>
      <c r="I1552" s="51" t="s">
        <v>92</v>
      </c>
      <c r="J1552" s="45" t="s">
        <v>353</v>
      </c>
      <c r="K1552" s="50" t="str">
        <f>"00032090"</f>
        <v>00032090</v>
      </c>
    </row>
    <row r="1553" spans="1:11" ht="45" customHeight="1">
      <c r="A1553" s="30">
        <v>105</v>
      </c>
      <c r="B1553" s="45" t="s">
        <v>1832</v>
      </c>
      <c r="C1553" s="45" t="s">
        <v>38</v>
      </c>
      <c r="D1553" s="46"/>
      <c r="E1553" s="47">
        <v>55003</v>
      </c>
      <c r="F1553" s="48">
        <v>7</v>
      </c>
      <c r="G1553" s="53" t="s">
        <v>4144</v>
      </c>
      <c r="H1553" s="30" t="s">
        <v>2581</v>
      </c>
      <c r="I1553" s="51" t="s">
        <v>267</v>
      </c>
      <c r="J1553" s="49" t="s">
        <v>2582</v>
      </c>
      <c r="K1553" s="50" t="str">
        <f>"00031611"</f>
        <v>00031611</v>
      </c>
    </row>
    <row r="1554" spans="1:11" ht="45" customHeight="1">
      <c r="A1554" s="30">
        <v>105</v>
      </c>
      <c r="B1554" s="45" t="s">
        <v>1832</v>
      </c>
      <c r="C1554" s="45" t="s">
        <v>38</v>
      </c>
      <c r="D1554" s="46"/>
      <c r="E1554" s="47">
        <v>36562</v>
      </c>
      <c r="F1554" s="48">
        <v>7</v>
      </c>
      <c r="G1554" s="76" t="s">
        <v>4145</v>
      </c>
      <c r="H1554" s="30" t="s">
        <v>2574</v>
      </c>
      <c r="I1554" s="51" t="s">
        <v>92</v>
      </c>
      <c r="J1554" s="45" t="s">
        <v>110</v>
      </c>
      <c r="K1554" s="50" t="str">
        <f>"00031654"</f>
        <v>00031654</v>
      </c>
    </row>
    <row r="1555" spans="1:11" ht="45" customHeight="1">
      <c r="A1555" s="30">
        <v>105</v>
      </c>
      <c r="B1555" s="45" t="s">
        <v>1874</v>
      </c>
      <c r="C1555" s="45" t="s">
        <v>38</v>
      </c>
      <c r="D1555" s="46"/>
      <c r="E1555" s="47">
        <v>83489</v>
      </c>
      <c r="F1555" s="48">
        <v>7</v>
      </c>
      <c r="G1555" s="45" t="s">
        <v>4146</v>
      </c>
      <c r="H1555" s="30" t="s">
        <v>2577</v>
      </c>
      <c r="I1555" s="51" t="s">
        <v>107</v>
      </c>
      <c r="J1555" s="45" t="s">
        <v>336</v>
      </c>
      <c r="K1555" s="50" t="str">
        <f>"00032346"</f>
        <v>00032346</v>
      </c>
    </row>
    <row r="1556" spans="1:11" ht="45" customHeight="1">
      <c r="A1556" s="30">
        <v>105</v>
      </c>
      <c r="B1556" s="45" t="s">
        <v>1862</v>
      </c>
      <c r="C1556" s="45" t="s">
        <v>38</v>
      </c>
      <c r="D1556" s="46"/>
      <c r="E1556" s="47">
        <v>10528</v>
      </c>
      <c r="F1556" s="48">
        <v>7</v>
      </c>
      <c r="G1556" s="45" t="s">
        <v>4147</v>
      </c>
      <c r="H1556" s="30" t="s">
        <v>2578</v>
      </c>
      <c r="I1556" s="51" t="s">
        <v>119</v>
      </c>
      <c r="J1556" s="45" t="s">
        <v>204</v>
      </c>
      <c r="K1556" s="50" t="str">
        <f>"00032768"</f>
        <v>00032768</v>
      </c>
    </row>
    <row r="1557" spans="1:11" ht="45" customHeight="1">
      <c r="A1557" s="30">
        <v>105</v>
      </c>
      <c r="B1557" s="45" t="s">
        <v>2531</v>
      </c>
      <c r="C1557" s="45" t="s">
        <v>38</v>
      </c>
      <c r="D1557" s="46"/>
      <c r="E1557" s="47">
        <v>29166</v>
      </c>
      <c r="F1557" s="48">
        <v>7</v>
      </c>
      <c r="G1557" s="51" t="s">
        <v>4148</v>
      </c>
      <c r="H1557" s="30" t="s">
        <v>2579</v>
      </c>
      <c r="I1557" s="51" t="s">
        <v>92</v>
      </c>
      <c r="J1557" s="45" t="s">
        <v>93</v>
      </c>
      <c r="K1557" s="50" t="str">
        <f>"00032523"</f>
        <v>00032523</v>
      </c>
    </row>
    <row r="1558" spans="1:11" ht="45" customHeight="1">
      <c r="A1558" s="30">
        <v>105</v>
      </c>
      <c r="B1558" s="45" t="s">
        <v>1832</v>
      </c>
      <c r="C1558" s="45" t="s">
        <v>38</v>
      </c>
      <c r="D1558" s="46"/>
      <c r="E1558" s="47">
        <v>98411</v>
      </c>
      <c r="F1558" s="48">
        <v>7</v>
      </c>
      <c r="G1558" s="45" t="s">
        <v>4149</v>
      </c>
      <c r="H1558" s="30" t="s">
        <v>1636</v>
      </c>
      <c r="I1558" s="51" t="s">
        <v>340</v>
      </c>
      <c r="J1558" s="45" t="s">
        <v>341</v>
      </c>
      <c r="K1558" s="50" t="str">
        <f>"00032302"</f>
        <v>00032302</v>
      </c>
    </row>
    <row r="1559" spans="1:11" ht="45" customHeight="1">
      <c r="A1559" s="30">
        <v>105</v>
      </c>
      <c r="B1559" s="45" t="s">
        <v>1832</v>
      </c>
      <c r="C1559" s="45" t="s">
        <v>38</v>
      </c>
      <c r="D1559" s="46"/>
      <c r="E1559" s="47">
        <v>92010</v>
      </c>
      <c r="F1559" s="48">
        <v>7</v>
      </c>
      <c r="G1559" s="76" t="s">
        <v>4150</v>
      </c>
      <c r="H1559" s="30" t="s">
        <v>1636</v>
      </c>
      <c r="I1559" s="51" t="s">
        <v>340</v>
      </c>
      <c r="J1559" s="45" t="s">
        <v>341</v>
      </c>
      <c r="K1559" s="50" t="str">
        <f>"00032098"</f>
        <v>00032098</v>
      </c>
    </row>
    <row r="1560" spans="1:11" ht="45" customHeight="1">
      <c r="A1560" s="30">
        <v>105</v>
      </c>
      <c r="B1560" s="45" t="s">
        <v>1832</v>
      </c>
      <c r="C1560" s="45" t="s">
        <v>38</v>
      </c>
      <c r="D1560" s="46"/>
      <c r="E1560" s="47">
        <v>91394</v>
      </c>
      <c r="F1560" s="48">
        <v>7</v>
      </c>
      <c r="G1560" s="45" t="s">
        <v>4151</v>
      </c>
      <c r="H1560" s="30" t="s">
        <v>1636</v>
      </c>
      <c r="I1560" s="51" t="s">
        <v>340</v>
      </c>
      <c r="J1560" s="45" t="s">
        <v>341</v>
      </c>
      <c r="K1560" s="50" t="str">
        <f>"00032025"</f>
        <v>00032025</v>
      </c>
    </row>
    <row r="1561" spans="1:11" ht="45" customHeight="1">
      <c r="A1561" s="30">
        <v>105</v>
      </c>
      <c r="B1561" s="45" t="s">
        <v>1832</v>
      </c>
      <c r="C1561" s="45" t="s">
        <v>38</v>
      </c>
      <c r="D1561" s="46"/>
      <c r="E1561" s="47">
        <v>117246</v>
      </c>
      <c r="F1561" s="48">
        <v>7</v>
      </c>
      <c r="G1561" s="52" t="s">
        <v>4152</v>
      </c>
      <c r="H1561" s="30" t="s">
        <v>2576</v>
      </c>
      <c r="I1561" s="51" t="s">
        <v>364</v>
      </c>
      <c r="J1561" s="45" t="s">
        <v>364</v>
      </c>
      <c r="K1561" s="50" t="str">
        <f>"00031518"</f>
        <v>00031518</v>
      </c>
    </row>
    <row r="1562" spans="1:11" ht="45" customHeight="1">
      <c r="A1562" s="30">
        <v>105</v>
      </c>
      <c r="B1562" s="45" t="s">
        <v>337</v>
      </c>
      <c r="C1562" s="45" t="s">
        <v>38</v>
      </c>
      <c r="D1562" s="46"/>
      <c r="E1562" s="47">
        <v>70000</v>
      </c>
      <c r="F1562" s="48">
        <v>7</v>
      </c>
      <c r="G1562" s="45" t="s">
        <v>4153</v>
      </c>
      <c r="H1562" s="30" t="s">
        <v>1803</v>
      </c>
      <c r="I1562" s="51" t="s">
        <v>107</v>
      </c>
      <c r="J1562" s="45" t="s">
        <v>336</v>
      </c>
      <c r="K1562" s="50" t="str">
        <f>"00032551"</f>
        <v>00032551</v>
      </c>
    </row>
    <row r="1563" spans="1:11" ht="45" customHeight="1">
      <c r="A1563" s="30">
        <v>105</v>
      </c>
      <c r="B1563" s="45" t="s">
        <v>342</v>
      </c>
      <c r="C1563" s="45" t="s">
        <v>38</v>
      </c>
      <c r="D1563" s="46"/>
      <c r="E1563" s="47">
        <v>98915</v>
      </c>
      <c r="F1563" s="48">
        <v>7</v>
      </c>
      <c r="G1563" s="76" t="s">
        <v>4154</v>
      </c>
      <c r="H1563" s="30" t="s">
        <v>973</v>
      </c>
      <c r="I1563" s="51" t="s">
        <v>107</v>
      </c>
      <c r="J1563" s="45" t="s">
        <v>647</v>
      </c>
      <c r="K1563" s="50" t="str">
        <f>"00032652"</f>
        <v>00032652</v>
      </c>
    </row>
    <row r="1564" spans="1:11" ht="45" customHeight="1">
      <c r="A1564" s="30">
        <v>105</v>
      </c>
      <c r="B1564" s="45" t="s">
        <v>338</v>
      </c>
      <c r="C1564" s="45" t="s">
        <v>38</v>
      </c>
      <c r="D1564" s="46"/>
      <c r="E1564" s="47">
        <v>252310</v>
      </c>
      <c r="F1564" s="48">
        <v>7</v>
      </c>
      <c r="G1564" s="45" t="s">
        <v>4155</v>
      </c>
      <c r="H1564" s="30" t="s">
        <v>2537</v>
      </c>
      <c r="I1564" s="51" t="s">
        <v>107</v>
      </c>
      <c r="J1564" s="52" t="s">
        <v>2538</v>
      </c>
      <c r="K1564" s="50" t="str">
        <f>"00027904"</f>
        <v>00027904</v>
      </c>
    </row>
    <row r="1565" spans="1:11" ht="45" customHeight="1">
      <c r="A1565" s="30">
        <v>105</v>
      </c>
      <c r="B1565" s="45" t="s">
        <v>338</v>
      </c>
      <c r="C1565" s="45" t="s">
        <v>38</v>
      </c>
      <c r="D1565" s="46"/>
      <c r="E1565" s="47">
        <v>154720</v>
      </c>
      <c r="F1565" s="48">
        <v>7</v>
      </c>
      <c r="G1565" s="76" t="s">
        <v>4156</v>
      </c>
      <c r="H1565" s="30" t="s">
        <v>2539</v>
      </c>
      <c r="I1565" s="51" t="s">
        <v>107</v>
      </c>
      <c r="J1565" s="49" t="s">
        <v>2540</v>
      </c>
      <c r="K1565" s="50" t="str">
        <f>"00028390"</f>
        <v>00028390</v>
      </c>
    </row>
    <row r="1566" spans="1:11" ht="45" customHeight="1">
      <c r="A1566" s="30">
        <v>105</v>
      </c>
      <c r="B1566" s="45" t="s">
        <v>337</v>
      </c>
      <c r="C1566" s="45" t="s">
        <v>38</v>
      </c>
      <c r="D1566" s="46"/>
      <c r="E1566" s="47">
        <v>61551</v>
      </c>
      <c r="F1566" s="48">
        <v>7</v>
      </c>
      <c r="G1566" s="53" t="s">
        <v>4157</v>
      </c>
      <c r="H1566" s="30" t="s">
        <v>2541</v>
      </c>
      <c r="I1566" s="51" t="s">
        <v>107</v>
      </c>
      <c r="J1566" s="52" t="s">
        <v>2542</v>
      </c>
      <c r="K1566" s="50" t="str">
        <f>"00027252"</f>
        <v>00027252</v>
      </c>
    </row>
    <row r="1567" spans="1:11" ht="45" customHeight="1">
      <c r="A1567" s="30">
        <v>105</v>
      </c>
      <c r="B1567" s="45" t="s">
        <v>1832</v>
      </c>
      <c r="C1567" s="45" t="s">
        <v>38</v>
      </c>
      <c r="D1567" s="46"/>
      <c r="E1567" s="47">
        <v>32839</v>
      </c>
      <c r="F1567" s="48">
        <v>7</v>
      </c>
      <c r="G1567" s="45" t="s">
        <v>4145</v>
      </c>
      <c r="H1567" s="30" t="s">
        <v>2536</v>
      </c>
      <c r="I1567" s="51" t="s">
        <v>92</v>
      </c>
      <c r="J1567" s="45" t="s">
        <v>110</v>
      </c>
      <c r="K1567" s="50" t="str">
        <f>"00031649"</f>
        <v>00031649</v>
      </c>
    </row>
    <row r="1568" spans="1:11" ht="45" customHeight="1">
      <c r="A1568" s="30">
        <v>105</v>
      </c>
      <c r="B1568" s="45" t="s">
        <v>337</v>
      </c>
      <c r="C1568" s="45" t="s">
        <v>38</v>
      </c>
      <c r="D1568" s="46"/>
      <c r="E1568" s="47">
        <v>87972</v>
      </c>
      <c r="F1568" s="48">
        <v>7</v>
      </c>
      <c r="G1568" s="53" t="s">
        <v>4158</v>
      </c>
      <c r="H1568" s="30" t="s">
        <v>2529</v>
      </c>
      <c r="I1568" s="51" t="s">
        <v>107</v>
      </c>
      <c r="J1568" s="53" t="s">
        <v>2530</v>
      </c>
      <c r="K1568" s="50" t="str">
        <f>"00031183"</f>
        <v>00031183</v>
      </c>
    </row>
    <row r="1569" spans="1:11" ht="45" customHeight="1">
      <c r="A1569" s="30">
        <v>105</v>
      </c>
      <c r="B1569" s="45" t="s">
        <v>2533</v>
      </c>
      <c r="C1569" s="45" t="s">
        <v>38</v>
      </c>
      <c r="D1569" s="46"/>
      <c r="E1569" s="47">
        <v>56946</v>
      </c>
      <c r="F1569" s="48">
        <v>7</v>
      </c>
      <c r="G1569" s="76" t="s">
        <v>4159</v>
      </c>
      <c r="H1569" s="30" t="s">
        <v>1820</v>
      </c>
      <c r="I1569" s="51" t="s">
        <v>107</v>
      </c>
      <c r="J1569" s="45" t="s">
        <v>336</v>
      </c>
      <c r="K1569" s="50" t="str">
        <f>"00032348"</f>
        <v>00032348</v>
      </c>
    </row>
    <row r="1570" spans="1:11" ht="45" customHeight="1">
      <c r="A1570" s="30">
        <v>105</v>
      </c>
      <c r="B1570" s="45" t="s">
        <v>342</v>
      </c>
      <c r="C1570" s="45" t="s">
        <v>38</v>
      </c>
      <c r="D1570" s="46"/>
      <c r="E1570" s="47">
        <v>186913</v>
      </c>
      <c r="F1570" s="48">
        <v>7</v>
      </c>
      <c r="G1570" s="76" t="s">
        <v>4154</v>
      </c>
      <c r="H1570" s="30" t="s">
        <v>2535</v>
      </c>
      <c r="I1570" s="51" t="s">
        <v>107</v>
      </c>
      <c r="J1570" s="45" t="s">
        <v>647</v>
      </c>
      <c r="K1570" s="50" t="str">
        <f>"00032651"</f>
        <v>00032651</v>
      </c>
    </row>
    <row r="1571" spans="1:11" ht="45" customHeight="1">
      <c r="A1571" s="30">
        <v>105</v>
      </c>
      <c r="B1571" s="45" t="s">
        <v>342</v>
      </c>
      <c r="C1571" s="45" t="s">
        <v>38</v>
      </c>
      <c r="D1571" s="46"/>
      <c r="E1571" s="47">
        <v>97477</v>
      </c>
      <c r="F1571" s="48">
        <v>7</v>
      </c>
      <c r="G1571" s="76" t="s">
        <v>4154</v>
      </c>
      <c r="H1571" s="30" t="s">
        <v>973</v>
      </c>
      <c r="I1571" s="51" t="s">
        <v>107</v>
      </c>
      <c r="J1571" s="45" t="s">
        <v>647</v>
      </c>
      <c r="K1571" s="50" t="str">
        <f>"00032649"</f>
        <v>00032649</v>
      </c>
    </row>
    <row r="1572" spans="1:11" ht="45" customHeight="1">
      <c r="A1572" s="30">
        <v>105</v>
      </c>
      <c r="B1572" s="45" t="s">
        <v>342</v>
      </c>
      <c r="C1572" s="45" t="s">
        <v>38</v>
      </c>
      <c r="D1572" s="46"/>
      <c r="E1572" s="47">
        <v>83500</v>
      </c>
      <c r="F1572" s="48">
        <v>7</v>
      </c>
      <c r="G1572" s="76" t="s">
        <v>4154</v>
      </c>
      <c r="H1572" s="30" t="s">
        <v>2535</v>
      </c>
      <c r="I1572" s="51" t="s">
        <v>107</v>
      </c>
      <c r="J1572" s="45" t="s">
        <v>647</v>
      </c>
      <c r="K1572" s="50" t="str">
        <f>"00032653"</f>
        <v>00032653</v>
      </c>
    </row>
    <row r="1573" spans="1:11" ht="45" customHeight="1">
      <c r="A1573" s="30">
        <v>105</v>
      </c>
      <c r="B1573" s="45" t="s">
        <v>2531</v>
      </c>
      <c r="C1573" s="45" t="s">
        <v>38</v>
      </c>
      <c r="D1573" s="46"/>
      <c r="E1573" s="47">
        <v>39418</v>
      </c>
      <c r="F1573" s="48">
        <v>7</v>
      </c>
      <c r="G1573" s="76" t="s">
        <v>4160</v>
      </c>
      <c r="H1573" s="30" t="s">
        <v>2532</v>
      </c>
      <c r="I1573" s="51" t="s">
        <v>92</v>
      </c>
      <c r="J1573" s="45" t="s">
        <v>353</v>
      </c>
      <c r="K1573" s="50" t="str">
        <f>"00033107"</f>
        <v>00033107</v>
      </c>
    </row>
    <row r="1574" spans="1:11" ht="45" customHeight="1">
      <c r="A1574" s="30">
        <v>105</v>
      </c>
      <c r="B1574" s="45" t="s">
        <v>1832</v>
      </c>
      <c r="C1574" s="45" t="s">
        <v>38</v>
      </c>
      <c r="D1574" s="46"/>
      <c r="E1574" s="47">
        <v>178400</v>
      </c>
      <c r="F1574" s="48">
        <v>7</v>
      </c>
      <c r="G1574" s="45" t="s">
        <v>4161</v>
      </c>
      <c r="H1574" s="30" t="s">
        <v>4112</v>
      </c>
      <c r="I1574" s="51" t="s">
        <v>340</v>
      </c>
      <c r="J1574" s="45" t="s">
        <v>341</v>
      </c>
      <c r="K1574" s="50" t="s">
        <v>4203</v>
      </c>
    </row>
    <row r="1575" spans="1:11" ht="45" customHeight="1">
      <c r="A1575" s="30">
        <v>105</v>
      </c>
      <c r="B1575" s="45" t="s">
        <v>2531</v>
      </c>
      <c r="C1575" s="45" t="s">
        <v>38</v>
      </c>
      <c r="D1575" s="46"/>
      <c r="E1575" s="47">
        <v>24129</v>
      </c>
      <c r="F1575" s="48">
        <v>7</v>
      </c>
      <c r="G1575" s="76" t="s">
        <v>4162</v>
      </c>
      <c r="H1575" s="30" t="s">
        <v>2534</v>
      </c>
      <c r="I1575" s="51" t="s">
        <v>92</v>
      </c>
      <c r="J1575" s="45" t="s">
        <v>353</v>
      </c>
      <c r="K1575" s="50" t="str">
        <f>"00033212"</f>
        <v>00033212</v>
      </c>
    </row>
    <row r="1576" spans="1:11" ht="45" customHeight="1">
      <c r="A1576" s="30">
        <v>105</v>
      </c>
      <c r="B1576" s="45" t="s">
        <v>1834</v>
      </c>
      <c r="C1576" s="45" t="s">
        <v>38</v>
      </c>
      <c r="D1576" s="46"/>
      <c r="E1576" s="47">
        <v>143311</v>
      </c>
      <c r="F1576" s="48">
        <v>7</v>
      </c>
      <c r="G1576" s="76" t="s">
        <v>4163</v>
      </c>
      <c r="H1576" s="30" t="s">
        <v>1987</v>
      </c>
      <c r="I1576" s="51" t="s">
        <v>107</v>
      </c>
      <c r="J1576" s="45" t="s">
        <v>336</v>
      </c>
      <c r="K1576" s="50" t="str">
        <f>"00032809"</f>
        <v>00032809</v>
      </c>
    </row>
    <row r="1577" spans="1:11" ht="45" customHeight="1">
      <c r="A1577" s="30">
        <v>105</v>
      </c>
      <c r="B1577" s="45" t="s">
        <v>337</v>
      </c>
      <c r="C1577" s="45" t="s">
        <v>38</v>
      </c>
      <c r="D1577" s="46"/>
      <c r="E1577" s="47">
        <v>65000</v>
      </c>
      <c r="F1577" s="48">
        <v>7</v>
      </c>
      <c r="G1577" s="53" t="s">
        <v>4164</v>
      </c>
      <c r="H1577" s="30" t="s">
        <v>4113</v>
      </c>
      <c r="I1577" s="51" t="s">
        <v>107</v>
      </c>
      <c r="J1577" s="53" t="s">
        <v>1885</v>
      </c>
      <c r="K1577" s="50" t="str">
        <f>"00033114"</f>
        <v>00033114</v>
      </c>
    </row>
    <row r="1578" spans="1:11" ht="45" customHeight="1">
      <c r="A1578" s="30">
        <v>105</v>
      </c>
      <c r="B1578" s="45" t="s">
        <v>366</v>
      </c>
      <c r="C1578" s="45" t="s">
        <v>38</v>
      </c>
      <c r="D1578" s="46"/>
      <c r="E1578" s="47">
        <v>78150</v>
      </c>
      <c r="F1578" s="48">
        <v>7</v>
      </c>
      <c r="G1578" s="51" t="s">
        <v>4165</v>
      </c>
      <c r="H1578" s="30" t="s">
        <v>2513</v>
      </c>
      <c r="I1578" s="51" t="s">
        <v>107</v>
      </c>
      <c r="J1578" s="45" t="s">
        <v>336</v>
      </c>
      <c r="K1578" s="50" t="str">
        <f>"00028145"</f>
        <v>00028145</v>
      </c>
    </row>
    <row r="1579" spans="1:11" ht="45" customHeight="1">
      <c r="A1579" s="30">
        <v>105</v>
      </c>
      <c r="B1579" s="45" t="s">
        <v>362</v>
      </c>
      <c r="C1579" s="45" t="s">
        <v>38</v>
      </c>
      <c r="D1579" s="46"/>
      <c r="E1579" s="47">
        <v>76187</v>
      </c>
      <c r="F1579" s="48">
        <v>7</v>
      </c>
      <c r="G1579" s="76" t="s">
        <v>4166</v>
      </c>
      <c r="H1579" s="30" t="s">
        <v>2509</v>
      </c>
      <c r="I1579" s="51" t="s">
        <v>107</v>
      </c>
      <c r="J1579" s="45" t="s">
        <v>2510</v>
      </c>
      <c r="K1579" s="50" t="str">
        <f>"00027513"</f>
        <v>00027513</v>
      </c>
    </row>
    <row r="1580" spans="1:11" ht="45" customHeight="1">
      <c r="A1580" s="30">
        <v>105</v>
      </c>
      <c r="B1580" s="45" t="s">
        <v>338</v>
      </c>
      <c r="C1580" s="45" t="s">
        <v>38</v>
      </c>
      <c r="D1580" s="46"/>
      <c r="E1580" s="47">
        <v>42289</v>
      </c>
      <c r="F1580" s="48">
        <v>7</v>
      </c>
      <c r="G1580" s="51" t="s">
        <v>4167</v>
      </c>
      <c r="H1580" s="30" t="s">
        <v>2511</v>
      </c>
      <c r="I1580" s="51" t="s">
        <v>179</v>
      </c>
      <c r="J1580" s="45" t="s">
        <v>2512</v>
      </c>
      <c r="K1580" s="50" t="str">
        <f>"00027424"</f>
        <v>00027424</v>
      </c>
    </row>
    <row r="1581" spans="1:11" ht="45" customHeight="1">
      <c r="A1581" s="30">
        <v>105</v>
      </c>
      <c r="B1581" s="45" t="s">
        <v>368</v>
      </c>
      <c r="C1581" s="45" t="s">
        <v>38</v>
      </c>
      <c r="D1581" s="46"/>
      <c r="E1581" s="47">
        <v>120835</v>
      </c>
      <c r="F1581" s="48">
        <v>7</v>
      </c>
      <c r="G1581" s="51" t="s">
        <v>4168</v>
      </c>
      <c r="H1581" s="30" t="s">
        <v>2511</v>
      </c>
      <c r="I1581" s="51" t="s">
        <v>179</v>
      </c>
      <c r="J1581" s="45" t="s">
        <v>2512</v>
      </c>
      <c r="K1581" s="50" t="str">
        <f>"00027325"</f>
        <v>00027325</v>
      </c>
    </row>
    <row r="1582" spans="1:11" ht="45" customHeight="1">
      <c r="A1582" s="30">
        <v>105</v>
      </c>
      <c r="B1582" s="45" t="s">
        <v>1835</v>
      </c>
      <c r="C1582" s="45" t="s">
        <v>38</v>
      </c>
      <c r="D1582" s="46"/>
      <c r="E1582" s="47">
        <v>95016</v>
      </c>
      <c r="F1582" s="48">
        <v>7</v>
      </c>
      <c r="G1582" s="45" t="s">
        <v>4169</v>
      </c>
      <c r="H1582" s="30" t="s">
        <v>2514</v>
      </c>
      <c r="I1582" s="51" t="s">
        <v>340</v>
      </c>
      <c r="J1582" s="45" t="s">
        <v>2515</v>
      </c>
      <c r="K1582" s="50" t="str">
        <f>"00026911"</f>
        <v>00026911</v>
      </c>
    </row>
    <row r="1583" spans="1:11" ht="45" customHeight="1">
      <c r="A1583" s="30">
        <v>105</v>
      </c>
      <c r="B1583" s="51" t="s">
        <v>346</v>
      </c>
      <c r="C1583" s="45" t="s">
        <v>38</v>
      </c>
      <c r="D1583" s="46"/>
      <c r="E1583" s="47">
        <v>25811</v>
      </c>
      <c r="F1583" s="48">
        <v>7</v>
      </c>
      <c r="G1583" s="76" t="s">
        <v>4170</v>
      </c>
      <c r="H1583" s="30" t="s">
        <v>2516</v>
      </c>
      <c r="I1583" s="51" t="s">
        <v>92</v>
      </c>
      <c r="J1583" s="45" t="s">
        <v>353</v>
      </c>
      <c r="K1583" s="50" t="str">
        <f>"00027237"</f>
        <v>00027237</v>
      </c>
    </row>
    <row r="1584" spans="1:11" ht="45" customHeight="1">
      <c r="A1584" s="30">
        <v>105</v>
      </c>
      <c r="B1584" s="45" t="s">
        <v>366</v>
      </c>
      <c r="C1584" s="45" t="s">
        <v>38</v>
      </c>
      <c r="D1584" s="46"/>
      <c r="E1584" s="47">
        <v>72363</v>
      </c>
      <c r="F1584" s="48">
        <v>7</v>
      </c>
      <c r="G1584" s="45" t="s">
        <v>4165</v>
      </c>
      <c r="H1584" s="30" t="s">
        <v>2013</v>
      </c>
      <c r="I1584" s="51" t="s">
        <v>107</v>
      </c>
      <c r="J1584" s="45" t="s">
        <v>336</v>
      </c>
      <c r="K1584" s="50" t="str">
        <f>"00027509"</f>
        <v>00027509</v>
      </c>
    </row>
    <row r="1585" spans="1:11" ht="45" customHeight="1">
      <c r="A1585" s="30">
        <v>105</v>
      </c>
      <c r="B1585" s="45" t="s">
        <v>366</v>
      </c>
      <c r="C1585" s="45" t="s">
        <v>38</v>
      </c>
      <c r="D1585" s="46"/>
      <c r="E1585" s="47">
        <v>76265</v>
      </c>
      <c r="F1585" s="48">
        <v>7</v>
      </c>
      <c r="G1585" s="45" t="s">
        <v>4171</v>
      </c>
      <c r="H1585" s="30" t="s">
        <v>2521</v>
      </c>
      <c r="I1585" s="51" t="s">
        <v>107</v>
      </c>
      <c r="J1585" s="45" t="s">
        <v>336</v>
      </c>
      <c r="K1585" s="50" t="str">
        <f>"00027097"</f>
        <v>00027097</v>
      </c>
    </row>
    <row r="1586" spans="1:11" ht="45" customHeight="1">
      <c r="A1586" s="30">
        <v>105</v>
      </c>
      <c r="B1586" s="45" t="s">
        <v>338</v>
      </c>
      <c r="C1586" s="45" t="s">
        <v>38</v>
      </c>
      <c r="D1586" s="46"/>
      <c r="E1586" s="47">
        <v>18815</v>
      </c>
      <c r="F1586" s="48">
        <v>7</v>
      </c>
      <c r="G1586" s="45" t="s">
        <v>4172</v>
      </c>
      <c r="H1586" s="30" t="s">
        <v>2522</v>
      </c>
      <c r="I1586" s="51" t="s">
        <v>92</v>
      </c>
      <c r="J1586" s="45" t="s">
        <v>110</v>
      </c>
      <c r="K1586" s="50" t="str">
        <f>"00027546"</f>
        <v>00027546</v>
      </c>
    </row>
    <row r="1587" spans="1:11" ht="45" customHeight="1">
      <c r="A1587" s="30">
        <v>105</v>
      </c>
      <c r="B1587" s="45" t="s">
        <v>366</v>
      </c>
      <c r="C1587" s="45" t="s">
        <v>38</v>
      </c>
      <c r="D1587" s="46"/>
      <c r="E1587" s="47">
        <v>32878</v>
      </c>
      <c r="F1587" s="48">
        <v>7</v>
      </c>
      <c r="G1587" s="49" t="s">
        <v>4173</v>
      </c>
      <c r="H1587" s="30" t="s">
        <v>2523</v>
      </c>
      <c r="I1587" s="51" t="s">
        <v>107</v>
      </c>
      <c r="J1587" s="45" t="s">
        <v>336</v>
      </c>
      <c r="K1587" s="50" t="str">
        <f>"00027510"</f>
        <v>00027510</v>
      </c>
    </row>
    <row r="1588" spans="1:11" ht="45" customHeight="1">
      <c r="A1588" s="30">
        <v>105</v>
      </c>
      <c r="B1588" s="45" t="s">
        <v>365</v>
      </c>
      <c r="C1588" s="45" t="s">
        <v>38</v>
      </c>
      <c r="D1588" s="46"/>
      <c r="E1588" s="47">
        <v>17172</v>
      </c>
      <c r="F1588" s="48">
        <v>7</v>
      </c>
      <c r="G1588" s="49" t="s">
        <v>4174</v>
      </c>
      <c r="H1588" s="30" t="s">
        <v>2528</v>
      </c>
      <c r="I1588" s="51" t="s">
        <v>92</v>
      </c>
      <c r="J1588" s="45" t="s">
        <v>110</v>
      </c>
      <c r="K1588" s="50" t="str">
        <f>"00027442"</f>
        <v>00027442</v>
      </c>
    </row>
    <row r="1589" spans="1:11" ht="45" customHeight="1">
      <c r="A1589" s="30">
        <v>105</v>
      </c>
      <c r="B1589" s="45" t="s">
        <v>343</v>
      </c>
      <c r="C1589" s="45" t="s">
        <v>38</v>
      </c>
      <c r="D1589" s="46"/>
      <c r="E1589" s="47">
        <v>36591</v>
      </c>
      <c r="F1589" s="48">
        <v>7</v>
      </c>
      <c r="G1589" s="45" t="s">
        <v>4175</v>
      </c>
      <c r="H1589" s="30" t="s">
        <v>2518</v>
      </c>
      <c r="I1589" s="51" t="s">
        <v>179</v>
      </c>
      <c r="J1589" s="45" t="s">
        <v>2512</v>
      </c>
      <c r="K1589" s="50" t="str">
        <f>"00027154"</f>
        <v>00027154</v>
      </c>
    </row>
    <row r="1590" spans="1:11" ht="45" customHeight="1">
      <c r="A1590" s="30">
        <v>105</v>
      </c>
      <c r="B1590" s="45" t="s">
        <v>338</v>
      </c>
      <c r="C1590" s="45" t="s">
        <v>38</v>
      </c>
      <c r="D1590" s="46"/>
      <c r="E1590" s="47">
        <v>203889</v>
      </c>
      <c r="F1590" s="48">
        <v>7</v>
      </c>
      <c r="G1590" s="45" t="s">
        <v>4155</v>
      </c>
      <c r="H1590" s="30" t="s">
        <v>2519</v>
      </c>
      <c r="I1590" s="51" t="s">
        <v>107</v>
      </c>
      <c r="J1590" s="49" t="s">
        <v>2520</v>
      </c>
      <c r="K1590" s="50" t="str">
        <f>"00027011"</f>
        <v>00027011</v>
      </c>
    </row>
    <row r="1591" spans="1:11" ht="45" customHeight="1">
      <c r="A1591" s="30">
        <v>105</v>
      </c>
      <c r="B1591" s="45" t="s">
        <v>338</v>
      </c>
      <c r="C1591" s="45" t="s">
        <v>38</v>
      </c>
      <c r="D1591" s="46"/>
      <c r="E1591" s="47">
        <v>147505</v>
      </c>
      <c r="F1591" s="48">
        <v>7</v>
      </c>
      <c r="G1591" s="45" t="s">
        <v>4155</v>
      </c>
      <c r="H1591" s="30" t="s">
        <v>2519</v>
      </c>
      <c r="I1591" s="51" t="s">
        <v>107</v>
      </c>
      <c r="J1591" s="49" t="s">
        <v>2520</v>
      </c>
      <c r="K1591" s="50" t="str">
        <f>"00027010"</f>
        <v>00027010</v>
      </c>
    </row>
    <row r="1592" spans="1:11" ht="45" customHeight="1">
      <c r="A1592" s="30">
        <v>105</v>
      </c>
      <c r="B1592" s="45" t="s">
        <v>338</v>
      </c>
      <c r="C1592" s="45" t="s">
        <v>38</v>
      </c>
      <c r="D1592" s="46"/>
      <c r="E1592" s="47">
        <v>174385</v>
      </c>
      <c r="F1592" s="48">
        <v>7</v>
      </c>
      <c r="G1592" s="45" t="s">
        <v>4155</v>
      </c>
      <c r="H1592" s="30" t="s">
        <v>2519</v>
      </c>
      <c r="I1592" s="51" t="s">
        <v>107</v>
      </c>
      <c r="J1592" s="49" t="s">
        <v>2520</v>
      </c>
      <c r="K1592" s="50" t="str">
        <f>"00027009"</f>
        <v>00027009</v>
      </c>
    </row>
    <row r="1593" spans="1:11" ht="45" customHeight="1">
      <c r="A1593" s="30">
        <v>105</v>
      </c>
      <c r="B1593" s="51" t="s">
        <v>347</v>
      </c>
      <c r="C1593" s="45" t="s">
        <v>38</v>
      </c>
      <c r="D1593" s="46"/>
      <c r="E1593" s="47">
        <v>15429</v>
      </c>
      <c r="F1593" s="48">
        <v>7</v>
      </c>
      <c r="G1593" s="76" t="s">
        <v>4176</v>
      </c>
      <c r="H1593" s="30" t="s">
        <v>2525</v>
      </c>
      <c r="I1593" s="51" t="s">
        <v>392</v>
      </c>
      <c r="J1593" s="45" t="s">
        <v>1136</v>
      </c>
      <c r="K1593" s="50" t="str">
        <f>"00027464"</f>
        <v>00027464</v>
      </c>
    </row>
    <row r="1594" spans="1:11" ht="45" customHeight="1">
      <c r="A1594" s="30">
        <v>105</v>
      </c>
      <c r="B1594" s="51" t="s">
        <v>347</v>
      </c>
      <c r="C1594" s="45" t="s">
        <v>38</v>
      </c>
      <c r="D1594" s="46"/>
      <c r="E1594" s="47">
        <v>15429</v>
      </c>
      <c r="F1594" s="48">
        <v>7</v>
      </c>
      <c r="G1594" s="76" t="s">
        <v>4176</v>
      </c>
      <c r="H1594" s="30" t="s">
        <v>2525</v>
      </c>
      <c r="I1594" s="51" t="s">
        <v>392</v>
      </c>
      <c r="J1594" s="45" t="s">
        <v>1136</v>
      </c>
      <c r="K1594" s="50" t="str">
        <f>"00027463"</f>
        <v>00027463</v>
      </c>
    </row>
    <row r="1595" spans="1:11" ht="45" customHeight="1">
      <c r="A1595" s="30">
        <v>105</v>
      </c>
      <c r="B1595" s="45" t="s">
        <v>1853</v>
      </c>
      <c r="C1595" s="45" t="s">
        <v>38</v>
      </c>
      <c r="D1595" s="46"/>
      <c r="E1595" s="47">
        <v>57806</v>
      </c>
      <c r="F1595" s="48">
        <v>7</v>
      </c>
      <c r="G1595" s="76" t="s">
        <v>4177</v>
      </c>
      <c r="H1595" s="30" t="s">
        <v>2526</v>
      </c>
      <c r="I1595" s="51" t="s">
        <v>92</v>
      </c>
      <c r="J1595" s="45" t="s">
        <v>110</v>
      </c>
      <c r="K1595" s="50" t="str">
        <f>"00027068"</f>
        <v>00027068</v>
      </c>
    </row>
    <row r="1596" spans="1:11" ht="45" customHeight="1">
      <c r="A1596" s="30">
        <v>105</v>
      </c>
      <c r="B1596" s="45" t="s">
        <v>1853</v>
      </c>
      <c r="C1596" s="45" t="s">
        <v>38</v>
      </c>
      <c r="D1596" s="46"/>
      <c r="E1596" s="47">
        <v>10736</v>
      </c>
      <c r="F1596" s="48">
        <v>7</v>
      </c>
      <c r="G1596" s="45" t="s">
        <v>4178</v>
      </c>
      <c r="H1596" s="30" t="s">
        <v>2527</v>
      </c>
      <c r="I1596" s="51" t="s">
        <v>92</v>
      </c>
      <c r="J1596" s="45" t="s">
        <v>110</v>
      </c>
      <c r="K1596" s="50" t="str">
        <f>"00027474"</f>
        <v>00027474</v>
      </c>
    </row>
    <row r="1597" spans="1:11" ht="45" customHeight="1">
      <c r="A1597" s="30">
        <v>105</v>
      </c>
      <c r="B1597" s="45" t="s">
        <v>348</v>
      </c>
      <c r="C1597" s="45" t="s">
        <v>38</v>
      </c>
      <c r="D1597" s="46"/>
      <c r="E1597" s="47">
        <v>51561</v>
      </c>
      <c r="F1597" s="48">
        <v>7</v>
      </c>
      <c r="G1597" s="49" t="s">
        <v>4179</v>
      </c>
      <c r="H1597" s="30" t="s">
        <v>2517</v>
      </c>
      <c r="I1597" s="51" t="s">
        <v>92</v>
      </c>
      <c r="J1597" s="45" t="s">
        <v>355</v>
      </c>
      <c r="K1597" s="50" t="str">
        <f>"00027725"</f>
        <v>00027725</v>
      </c>
    </row>
    <row r="1598" spans="1:11" ht="45" customHeight="1">
      <c r="A1598" s="30">
        <v>105</v>
      </c>
      <c r="B1598" s="45" t="s">
        <v>366</v>
      </c>
      <c r="C1598" s="45" t="s">
        <v>38</v>
      </c>
      <c r="D1598" s="46"/>
      <c r="E1598" s="47">
        <v>37450</v>
      </c>
      <c r="F1598" s="48">
        <v>7</v>
      </c>
      <c r="G1598" s="45" t="s">
        <v>4180</v>
      </c>
      <c r="H1598" s="30" t="s">
        <v>2588</v>
      </c>
      <c r="I1598" s="51" t="s">
        <v>92</v>
      </c>
      <c r="J1598" s="45" t="s">
        <v>110</v>
      </c>
      <c r="K1598" s="50" t="str">
        <f>"00028194"</f>
        <v>00028194</v>
      </c>
    </row>
    <row r="1599" spans="1:11" ht="45" customHeight="1">
      <c r="A1599" s="30">
        <v>105</v>
      </c>
      <c r="B1599" s="45" t="s">
        <v>338</v>
      </c>
      <c r="C1599" s="45" t="s">
        <v>38</v>
      </c>
      <c r="D1599" s="46"/>
      <c r="E1599" s="47">
        <v>72556</v>
      </c>
      <c r="F1599" s="48">
        <v>7</v>
      </c>
      <c r="G1599" s="45" t="s">
        <v>4181</v>
      </c>
      <c r="H1599" s="30" t="s">
        <v>2524</v>
      </c>
      <c r="I1599" s="51" t="s">
        <v>111</v>
      </c>
      <c r="J1599" s="45" t="s">
        <v>367</v>
      </c>
      <c r="K1599" s="50" t="str">
        <f>"00027549"</f>
        <v>00027549</v>
      </c>
    </row>
    <row r="1600" spans="1:11" ht="45" customHeight="1">
      <c r="A1600" s="30">
        <v>105</v>
      </c>
      <c r="B1600" s="45" t="s">
        <v>366</v>
      </c>
      <c r="C1600" s="45" t="s">
        <v>38</v>
      </c>
      <c r="D1600" s="46"/>
      <c r="E1600" s="47">
        <v>21697</v>
      </c>
      <c r="F1600" s="48">
        <v>7</v>
      </c>
      <c r="G1600" s="45" t="s">
        <v>4180</v>
      </c>
      <c r="H1600" s="30" t="s">
        <v>2588</v>
      </c>
      <c r="I1600" s="51" t="s">
        <v>92</v>
      </c>
      <c r="J1600" s="45" t="s">
        <v>110</v>
      </c>
      <c r="K1600" s="50" t="str">
        <f>"00028193"</f>
        <v>00028193</v>
      </c>
    </row>
    <row r="1601" spans="1:11" ht="45" customHeight="1">
      <c r="A1601" s="30">
        <v>105</v>
      </c>
      <c r="B1601" s="45" t="s">
        <v>368</v>
      </c>
      <c r="C1601" s="45" t="s">
        <v>38</v>
      </c>
      <c r="D1601" s="46"/>
      <c r="E1601" s="47">
        <v>38000</v>
      </c>
      <c r="F1601" s="48">
        <v>7</v>
      </c>
      <c r="G1601" s="45" t="s">
        <v>4182</v>
      </c>
      <c r="H1601" s="30" t="s">
        <v>2588</v>
      </c>
      <c r="I1601" s="51" t="s">
        <v>92</v>
      </c>
      <c r="J1601" s="45" t="s">
        <v>110</v>
      </c>
      <c r="K1601" s="50" t="str">
        <f>"00027835"</f>
        <v>00027835</v>
      </c>
    </row>
    <row r="1602" spans="1:11" ht="45" customHeight="1">
      <c r="A1602" s="30">
        <v>105</v>
      </c>
      <c r="B1602" s="45" t="s">
        <v>365</v>
      </c>
      <c r="C1602" s="45" t="s">
        <v>38</v>
      </c>
      <c r="D1602" s="46"/>
      <c r="E1602" s="47">
        <v>56109</v>
      </c>
      <c r="F1602" s="48">
        <v>7</v>
      </c>
      <c r="G1602" s="49" t="s">
        <v>4183</v>
      </c>
      <c r="H1602" s="30" t="s">
        <v>2587</v>
      </c>
      <c r="I1602" s="51" t="s">
        <v>92</v>
      </c>
      <c r="J1602" s="45" t="s">
        <v>355</v>
      </c>
      <c r="K1602" s="50" t="str">
        <f>"00027581"</f>
        <v>00027581</v>
      </c>
    </row>
    <row r="1603" spans="1:11" ht="45" customHeight="1">
      <c r="A1603" s="30">
        <v>105</v>
      </c>
      <c r="B1603" s="45" t="s">
        <v>2589</v>
      </c>
      <c r="C1603" s="45" t="s">
        <v>38</v>
      </c>
      <c r="D1603" s="46"/>
      <c r="E1603" s="47">
        <v>99657</v>
      </c>
      <c r="F1603" s="48">
        <v>7</v>
      </c>
      <c r="G1603" s="45" t="s">
        <v>4184</v>
      </c>
      <c r="H1603" s="30" t="s">
        <v>2590</v>
      </c>
      <c r="I1603" s="51" t="s">
        <v>107</v>
      </c>
      <c r="J1603" s="52" t="s">
        <v>2538</v>
      </c>
      <c r="K1603" s="50" t="str">
        <f>"00027940"</f>
        <v>00027940</v>
      </c>
    </row>
    <row r="1604" spans="1:11" ht="45" customHeight="1">
      <c r="A1604" s="30">
        <v>105</v>
      </c>
      <c r="B1604" s="45" t="s">
        <v>342</v>
      </c>
      <c r="C1604" s="45" t="s">
        <v>38</v>
      </c>
      <c r="D1604" s="46"/>
      <c r="E1604" s="47">
        <v>23611</v>
      </c>
      <c r="F1604" s="48">
        <v>7</v>
      </c>
      <c r="G1604" s="76" t="s">
        <v>4120</v>
      </c>
      <c r="H1604" s="30" t="s">
        <v>1812</v>
      </c>
      <c r="I1604" s="51" t="s">
        <v>92</v>
      </c>
      <c r="J1604" s="45" t="s">
        <v>2557</v>
      </c>
      <c r="K1604" s="50" t="str">
        <f>"00028327"</f>
        <v>00028327</v>
      </c>
    </row>
    <row r="1605" spans="1:11" ht="45" customHeight="1">
      <c r="A1605" s="30">
        <v>105</v>
      </c>
      <c r="B1605" s="45" t="s">
        <v>338</v>
      </c>
      <c r="C1605" s="45" t="s">
        <v>38</v>
      </c>
      <c r="D1605" s="46"/>
      <c r="E1605" s="47">
        <v>140828</v>
      </c>
      <c r="F1605" s="48">
        <v>7</v>
      </c>
      <c r="G1605" s="49" t="s">
        <v>4185</v>
      </c>
      <c r="H1605" s="30" t="s">
        <v>1162</v>
      </c>
      <c r="I1605" s="51" t="s">
        <v>107</v>
      </c>
      <c r="J1605" s="55" t="s">
        <v>2591</v>
      </c>
      <c r="K1605" s="50" t="str">
        <f>"00028174"</f>
        <v>00028174</v>
      </c>
    </row>
    <row r="1606" spans="1:11" ht="45" customHeight="1">
      <c r="A1606" s="30">
        <v>105</v>
      </c>
      <c r="B1606" s="45" t="s">
        <v>1853</v>
      </c>
      <c r="C1606" s="45" t="s">
        <v>38</v>
      </c>
      <c r="D1606" s="46"/>
      <c r="E1606" s="47">
        <v>80734</v>
      </c>
      <c r="F1606" s="48">
        <v>7</v>
      </c>
      <c r="G1606" s="45" t="s">
        <v>4165</v>
      </c>
      <c r="H1606" s="30" t="s">
        <v>2592</v>
      </c>
      <c r="I1606" s="51" t="s">
        <v>107</v>
      </c>
      <c r="J1606" s="45" t="s">
        <v>336</v>
      </c>
      <c r="K1606" s="50" t="str">
        <f>"00027963"</f>
        <v>00027963</v>
      </c>
    </row>
    <row r="1607" spans="1:11" ht="45" customHeight="1">
      <c r="A1607" s="30">
        <v>105</v>
      </c>
      <c r="B1607" s="45" t="s">
        <v>368</v>
      </c>
      <c r="C1607" s="45" t="s">
        <v>38</v>
      </c>
      <c r="D1607" s="46"/>
      <c r="E1607" s="47">
        <v>25907</v>
      </c>
      <c r="F1607" s="48">
        <v>7</v>
      </c>
      <c r="G1607" s="45" t="s">
        <v>4180</v>
      </c>
      <c r="H1607" s="30" t="s">
        <v>2593</v>
      </c>
      <c r="I1607" s="51" t="s">
        <v>92</v>
      </c>
      <c r="J1607" s="45" t="s">
        <v>110</v>
      </c>
      <c r="K1607" s="50" t="str">
        <f>"00028195"</f>
        <v>00028195</v>
      </c>
    </row>
    <row r="1608" spans="1:11" ht="45" customHeight="1">
      <c r="A1608" s="30">
        <v>105</v>
      </c>
      <c r="B1608" s="45" t="s">
        <v>1835</v>
      </c>
      <c r="C1608" s="45" t="s">
        <v>38</v>
      </c>
      <c r="D1608" s="46"/>
      <c r="E1608" s="47">
        <v>45839</v>
      </c>
      <c r="F1608" s="48">
        <v>7</v>
      </c>
      <c r="G1608" s="51" t="s">
        <v>4186</v>
      </c>
      <c r="H1608" s="30" t="s">
        <v>2599</v>
      </c>
      <c r="I1608" s="51" t="s">
        <v>177</v>
      </c>
      <c r="J1608" s="45" t="s">
        <v>2600</v>
      </c>
      <c r="K1608" s="50" t="str">
        <f>"00028215"</f>
        <v>00028215</v>
      </c>
    </row>
    <row r="1609" spans="1:11" ht="45" customHeight="1">
      <c r="A1609" s="30">
        <v>105</v>
      </c>
      <c r="B1609" s="45" t="s">
        <v>2589</v>
      </c>
      <c r="C1609" s="45" t="s">
        <v>38</v>
      </c>
      <c r="D1609" s="46"/>
      <c r="E1609" s="47">
        <v>164374</v>
      </c>
      <c r="F1609" s="48">
        <v>7</v>
      </c>
      <c r="G1609" s="45" t="s">
        <v>4187</v>
      </c>
      <c r="H1609" s="30" t="s">
        <v>2598</v>
      </c>
      <c r="I1609" s="51" t="s">
        <v>364</v>
      </c>
      <c r="J1609" s="45" t="s">
        <v>364</v>
      </c>
      <c r="K1609" s="50" t="str">
        <f>"00027687"</f>
        <v>00027687</v>
      </c>
    </row>
    <row r="1610" spans="1:11" ht="45" customHeight="1">
      <c r="A1610" s="30">
        <v>105</v>
      </c>
      <c r="B1610" s="45" t="s">
        <v>1853</v>
      </c>
      <c r="C1610" s="45" t="s">
        <v>38</v>
      </c>
      <c r="D1610" s="46"/>
      <c r="E1610" s="47">
        <v>24438</v>
      </c>
      <c r="F1610" s="48">
        <v>7</v>
      </c>
      <c r="G1610" s="49" t="s">
        <v>4177</v>
      </c>
      <c r="H1610" s="30" t="s">
        <v>2597</v>
      </c>
      <c r="I1610" s="51" t="s">
        <v>92</v>
      </c>
      <c r="J1610" s="45" t="s">
        <v>110</v>
      </c>
      <c r="K1610" s="50" t="str">
        <f>"00027049"</f>
        <v>00027049</v>
      </c>
    </row>
    <row r="1611" spans="1:11" ht="45" customHeight="1">
      <c r="A1611" s="30">
        <v>105</v>
      </c>
      <c r="B1611" s="45" t="s">
        <v>358</v>
      </c>
      <c r="C1611" s="45" t="s">
        <v>38</v>
      </c>
      <c r="D1611" s="46"/>
      <c r="E1611" s="47">
        <v>84508</v>
      </c>
      <c r="F1611" s="48">
        <v>7</v>
      </c>
      <c r="G1611" s="45" t="s">
        <v>4188</v>
      </c>
      <c r="H1611" s="30" t="s">
        <v>944</v>
      </c>
      <c r="I1611" s="51" t="s">
        <v>107</v>
      </c>
      <c r="J1611" s="45" t="s">
        <v>1804</v>
      </c>
      <c r="K1611" s="50" t="str">
        <f>"00026943"</f>
        <v>00026943</v>
      </c>
    </row>
    <row r="1612" spans="1:11" ht="45" customHeight="1">
      <c r="A1612" s="30">
        <v>105</v>
      </c>
      <c r="B1612" s="45" t="s">
        <v>1874</v>
      </c>
      <c r="C1612" s="45" t="s">
        <v>38</v>
      </c>
      <c r="D1612" s="46"/>
      <c r="E1612" s="47">
        <v>106462</v>
      </c>
      <c r="F1612" s="48">
        <v>7</v>
      </c>
      <c r="G1612" s="49" t="s">
        <v>4189</v>
      </c>
      <c r="H1612" s="30" t="s">
        <v>2594</v>
      </c>
      <c r="I1612" s="51" t="s">
        <v>107</v>
      </c>
      <c r="J1612" s="52" t="s">
        <v>2542</v>
      </c>
      <c r="K1612" s="50" t="str">
        <f>"00027947"</f>
        <v>00027947</v>
      </c>
    </row>
    <row r="1613" spans="1:11" ht="45" customHeight="1">
      <c r="A1613" s="30">
        <v>105</v>
      </c>
      <c r="B1613" s="45" t="s">
        <v>338</v>
      </c>
      <c r="C1613" s="45" t="s">
        <v>38</v>
      </c>
      <c r="D1613" s="46"/>
      <c r="E1613" s="47">
        <v>186715</v>
      </c>
      <c r="F1613" s="48">
        <v>7</v>
      </c>
      <c r="G1613" s="45" t="s">
        <v>4155</v>
      </c>
      <c r="H1613" s="30" t="s">
        <v>2537</v>
      </c>
      <c r="I1613" s="51" t="s">
        <v>107</v>
      </c>
      <c r="J1613" s="49" t="s">
        <v>2538</v>
      </c>
      <c r="K1613" s="50" t="str">
        <f>"00027961"</f>
        <v>00027961</v>
      </c>
    </row>
    <row r="1614" spans="1:11" ht="45" customHeight="1">
      <c r="A1614" s="30">
        <v>105</v>
      </c>
      <c r="B1614" s="45" t="s">
        <v>368</v>
      </c>
      <c r="C1614" s="45" t="s">
        <v>38</v>
      </c>
      <c r="D1614" s="46"/>
      <c r="E1614" s="47">
        <v>27119</v>
      </c>
      <c r="F1614" s="48">
        <v>7</v>
      </c>
      <c r="G1614" s="45" t="s">
        <v>4180</v>
      </c>
      <c r="H1614" s="30" t="s">
        <v>2588</v>
      </c>
      <c r="I1614" s="51" t="s">
        <v>92</v>
      </c>
      <c r="J1614" s="45" t="s">
        <v>110</v>
      </c>
      <c r="K1614" s="50" t="str">
        <f>"00028237"</f>
        <v>00028237</v>
      </c>
    </row>
    <row r="1615" spans="1:11" ht="45" customHeight="1">
      <c r="A1615" s="30">
        <v>105</v>
      </c>
      <c r="B1615" s="45" t="s">
        <v>338</v>
      </c>
      <c r="C1615" s="45" t="s">
        <v>38</v>
      </c>
      <c r="D1615" s="46"/>
      <c r="E1615" s="47">
        <v>105717</v>
      </c>
      <c r="F1615" s="48">
        <v>7</v>
      </c>
      <c r="G1615" s="45" t="s">
        <v>4190</v>
      </c>
      <c r="H1615" s="30" t="s">
        <v>2595</v>
      </c>
      <c r="I1615" s="51" t="s">
        <v>107</v>
      </c>
      <c r="J1615" s="49" t="s">
        <v>2540</v>
      </c>
      <c r="K1615" s="50" t="str">
        <f>"00028151"</f>
        <v>00028151</v>
      </c>
    </row>
    <row r="1616" spans="1:11" ht="45" customHeight="1">
      <c r="A1616" s="30">
        <v>105</v>
      </c>
      <c r="B1616" s="45" t="s">
        <v>342</v>
      </c>
      <c r="C1616" s="45" t="s">
        <v>38</v>
      </c>
      <c r="D1616" s="46"/>
      <c r="E1616" s="47">
        <v>60937</v>
      </c>
      <c r="F1616" s="48">
        <v>7</v>
      </c>
      <c r="G1616" s="51" t="s">
        <v>4191</v>
      </c>
      <c r="H1616" s="30" t="s">
        <v>2550</v>
      </c>
      <c r="I1616" s="51" t="s">
        <v>107</v>
      </c>
      <c r="J1616" s="45" t="s">
        <v>336</v>
      </c>
      <c r="K1616" s="50" t="str">
        <f>"00028402"</f>
        <v>00028402</v>
      </c>
    </row>
    <row r="1617" spans="1:11" ht="45" customHeight="1">
      <c r="A1617" s="30">
        <v>105</v>
      </c>
      <c r="B1617" s="45" t="s">
        <v>1853</v>
      </c>
      <c r="C1617" s="45" t="s">
        <v>38</v>
      </c>
      <c r="D1617" s="46"/>
      <c r="E1617" s="47">
        <v>87521</v>
      </c>
      <c r="F1617" s="48">
        <v>7</v>
      </c>
      <c r="G1617" s="45" t="s">
        <v>4165</v>
      </c>
      <c r="H1617" s="30" t="s">
        <v>2596</v>
      </c>
      <c r="I1617" s="51" t="s">
        <v>107</v>
      </c>
      <c r="J1617" s="45" t="s">
        <v>336</v>
      </c>
      <c r="K1617" s="50" t="str">
        <f>"00027830"</f>
        <v>00027830</v>
      </c>
    </row>
    <row r="1618" spans="1:11" ht="45" customHeight="1">
      <c r="A1618" s="30">
        <v>105</v>
      </c>
      <c r="B1618" s="45" t="s">
        <v>370</v>
      </c>
      <c r="C1618" s="45" t="s">
        <v>38</v>
      </c>
      <c r="D1618" s="46"/>
      <c r="E1618" s="47">
        <v>63545</v>
      </c>
      <c r="F1618" s="48">
        <v>7</v>
      </c>
      <c r="G1618" s="45" t="s">
        <v>4192</v>
      </c>
      <c r="H1618" s="30" t="s">
        <v>2605</v>
      </c>
      <c r="I1618" s="51" t="s">
        <v>107</v>
      </c>
      <c r="J1618" s="45" t="s">
        <v>1629</v>
      </c>
      <c r="K1618" s="50" t="str">
        <f>"00027214"</f>
        <v>00027214</v>
      </c>
    </row>
    <row r="1619" spans="1:11" ht="45" customHeight="1">
      <c r="A1619" s="30">
        <v>105</v>
      </c>
      <c r="B1619" s="45" t="s">
        <v>365</v>
      </c>
      <c r="C1619" s="45" t="s">
        <v>38</v>
      </c>
      <c r="D1619" s="46"/>
      <c r="E1619" s="47">
        <v>70594</v>
      </c>
      <c r="F1619" s="48">
        <v>7</v>
      </c>
      <c r="G1619" s="49" t="s">
        <v>4193</v>
      </c>
      <c r="H1619" s="30" t="s">
        <v>2604</v>
      </c>
      <c r="I1619" s="51" t="s">
        <v>340</v>
      </c>
      <c r="J1619" s="45" t="s">
        <v>341</v>
      </c>
      <c r="K1619" s="50" t="str">
        <f>"00028667"</f>
        <v>00028667</v>
      </c>
    </row>
    <row r="1620" spans="1:11" ht="45" customHeight="1">
      <c r="A1620" s="30">
        <v>105</v>
      </c>
      <c r="B1620" s="45" t="s">
        <v>343</v>
      </c>
      <c r="C1620" s="45" t="s">
        <v>38</v>
      </c>
      <c r="D1620" s="46"/>
      <c r="E1620" s="47">
        <v>24560</v>
      </c>
      <c r="F1620" s="48">
        <v>7</v>
      </c>
      <c r="G1620" s="45" t="s">
        <v>4180</v>
      </c>
      <c r="H1620" s="30" t="s">
        <v>2588</v>
      </c>
      <c r="I1620" s="51" t="s">
        <v>92</v>
      </c>
      <c r="J1620" s="45" t="s">
        <v>110</v>
      </c>
      <c r="K1620" s="50" t="str">
        <f>"00028271"</f>
        <v>00028271</v>
      </c>
    </row>
    <row r="1621" spans="1:11" ht="45" customHeight="1">
      <c r="A1621" s="30">
        <v>105</v>
      </c>
      <c r="B1621" s="45" t="s">
        <v>338</v>
      </c>
      <c r="C1621" s="45" t="s">
        <v>38</v>
      </c>
      <c r="D1621" s="46"/>
      <c r="E1621" s="47">
        <v>190379</v>
      </c>
      <c r="F1621" s="48">
        <v>7</v>
      </c>
      <c r="G1621" s="45" t="s">
        <v>4155</v>
      </c>
      <c r="H1621" s="30" t="s">
        <v>2606</v>
      </c>
      <c r="I1621" s="51" t="s">
        <v>107</v>
      </c>
      <c r="J1621" s="49" t="s">
        <v>2540</v>
      </c>
      <c r="K1621" s="50" t="str">
        <f>"00028072"</f>
        <v>00028072</v>
      </c>
    </row>
    <row r="1622" spans="1:11" ht="45" customHeight="1">
      <c r="A1622" s="30">
        <v>105</v>
      </c>
      <c r="B1622" s="45" t="s">
        <v>338</v>
      </c>
      <c r="C1622" s="45" t="s">
        <v>38</v>
      </c>
      <c r="D1622" s="46"/>
      <c r="E1622" s="47">
        <v>187841</v>
      </c>
      <c r="F1622" s="48">
        <v>7</v>
      </c>
      <c r="G1622" s="45" t="s">
        <v>4155</v>
      </c>
      <c r="H1622" s="30" t="s">
        <v>2607</v>
      </c>
      <c r="I1622" s="51" t="s">
        <v>107</v>
      </c>
      <c r="J1622" s="49" t="s">
        <v>2540</v>
      </c>
      <c r="K1622" s="50" t="str">
        <f>"00028073"</f>
        <v>00028073</v>
      </c>
    </row>
    <row r="1623" spans="1:11" ht="45" customHeight="1">
      <c r="A1623" s="30">
        <v>105</v>
      </c>
      <c r="B1623" s="45" t="s">
        <v>1850</v>
      </c>
      <c r="C1623" s="45" t="s">
        <v>38</v>
      </c>
      <c r="D1623" s="46"/>
      <c r="E1623" s="47">
        <v>25424</v>
      </c>
      <c r="F1623" s="48">
        <v>7</v>
      </c>
      <c r="G1623" s="45" t="s">
        <v>4194</v>
      </c>
      <c r="H1623" s="30" t="s">
        <v>2609</v>
      </c>
      <c r="I1623" s="51" t="s">
        <v>100</v>
      </c>
      <c r="J1623" s="45" t="s">
        <v>2260</v>
      </c>
      <c r="K1623" s="50" t="str">
        <f>"00028196"</f>
        <v>00028196</v>
      </c>
    </row>
    <row r="1624" spans="1:11" ht="45" customHeight="1">
      <c r="A1624" s="30">
        <v>105</v>
      </c>
      <c r="B1624" s="45" t="s">
        <v>1856</v>
      </c>
      <c r="C1624" s="45" t="s">
        <v>38</v>
      </c>
      <c r="D1624" s="46"/>
      <c r="E1624" s="47">
        <v>84859</v>
      </c>
      <c r="F1624" s="48">
        <v>7</v>
      </c>
      <c r="G1624" s="45" t="s">
        <v>4195</v>
      </c>
      <c r="H1624" s="30" t="s">
        <v>2608</v>
      </c>
      <c r="I1624" s="51" t="s">
        <v>116</v>
      </c>
      <c r="J1624" s="45" t="s">
        <v>268</v>
      </c>
      <c r="K1624" s="50" t="str">
        <f>"00028493"</f>
        <v>00028493</v>
      </c>
    </row>
    <row r="1625" spans="1:11" ht="45" customHeight="1">
      <c r="A1625" s="30">
        <v>105</v>
      </c>
      <c r="B1625" s="45" t="s">
        <v>2531</v>
      </c>
      <c r="C1625" s="45" t="s">
        <v>38</v>
      </c>
      <c r="D1625" s="46"/>
      <c r="E1625" s="47">
        <v>24298</v>
      </c>
      <c r="F1625" s="48">
        <v>7</v>
      </c>
      <c r="G1625" s="45" t="s">
        <v>4120</v>
      </c>
      <c r="H1625" s="30" t="s">
        <v>2610</v>
      </c>
      <c r="I1625" s="51" t="s">
        <v>92</v>
      </c>
      <c r="J1625" s="45" t="s">
        <v>2557</v>
      </c>
      <c r="K1625" s="50" t="str">
        <f>"00029260"</f>
        <v>00029260</v>
      </c>
    </row>
    <row r="1626" spans="1:11" ht="45" customHeight="1">
      <c r="A1626" s="30">
        <v>105</v>
      </c>
      <c r="B1626" s="45" t="s">
        <v>2531</v>
      </c>
      <c r="C1626" s="45" t="s">
        <v>38</v>
      </c>
      <c r="D1626" s="46"/>
      <c r="E1626" s="47">
        <v>14697</v>
      </c>
      <c r="F1626" s="48">
        <v>7</v>
      </c>
      <c r="G1626" s="76" t="s">
        <v>4115</v>
      </c>
      <c r="H1626" s="30" t="s">
        <v>2612</v>
      </c>
      <c r="I1626" s="51" t="s">
        <v>92</v>
      </c>
      <c r="J1626" s="45" t="s">
        <v>2555</v>
      </c>
      <c r="K1626" s="50" t="str">
        <f>"00028574"</f>
        <v>00028574</v>
      </c>
    </row>
    <row r="1627" spans="1:11" ht="45" customHeight="1">
      <c r="A1627" s="30">
        <v>105</v>
      </c>
      <c r="B1627" s="45" t="s">
        <v>1862</v>
      </c>
      <c r="C1627" s="45" t="s">
        <v>38</v>
      </c>
      <c r="D1627" s="46"/>
      <c r="E1627" s="47">
        <v>14465</v>
      </c>
      <c r="F1627" s="48">
        <v>7</v>
      </c>
      <c r="G1627" s="76" t="s">
        <v>4196</v>
      </c>
      <c r="H1627" s="30" t="s">
        <v>2613</v>
      </c>
      <c r="I1627" s="51" t="s">
        <v>92</v>
      </c>
      <c r="J1627" s="45" t="s">
        <v>2614</v>
      </c>
      <c r="K1627" s="50" t="str">
        <f>"00028034"</f>
        <v>00028034</v>
      </c>
    </row>
    <row r="1628" spans="1:11" ht="45" customHeight="1">
      <c r="A1628" s="30">
        <v>105</v>
      </c>
      <c r="B1628" s="45" t="s">
        <v>338</v>
      </c>
      <c r="C1628" s="45" t="s">
        <v>38</v>
      </c>
      <c r="D1628" s="46"/>
      <c r="E1628" s="47">
        <v>311338</v>
      </c>
      <c r="F1628" s="48">
        <v>7</v>
      </c>
      <c r="G1628" s="45" t="s">
        <v>4155</v>
      </c>
      <c r="H1628" s="30" t="s">
        <v>2611</v>
      </c>
      <c r="I1628" s="51" t="s">
        <v>107</v>
      </c>
      <c r="J1628" s="49" t="s">
        <v>2538</v>
      </c>
      <c r="K1628" s="50" t="str">
        <f>"00027937"</f>
        <v>00027937</v>
      </c>
    </row>
    <row r="1629" spans="1:11" ht="45" customHeight="1">
      <c r="A1629" s="30">
        <v>105</v>
      </c>
      <c r="B1629" s="45" t="s">
        <v>1877</v>
      </c>
      <c r="C1629" s="45" t="s">
        <v>38</v>
      </c>
      <c r="D1629" s="46"/>
      <c r="E1629" s="47">
        <v>102300</v>
      </c>
      <c r="F1629" s="48">
        <v>7</v>
      </c>
      <c r="G1629" s="53" t="s">
        <v>4197</v>
      </c>
      <c r="H1629" s="30" t="s">
        <v>2601</v>
      </c>
      <c r="I1629" s="49" t="s">
        <v>2602</v>
      </c>
      <c r="J1629" s="49" t="s">
        <v>2603</v>
      </c>
      <c r="K1629" s="50" t="str">
        <f>"00028380"</f>
        <v>00028380</v>
      </c>
    </row>
    <row r="1630" spans="1:11" ht="45" customHeight="1">
      <c r="A1630" s="30">
        <v>105</v>
      </c>
      <c r="B1630" s="45" t="s">
        <v>338</v>
      </c>
      <c r="C1630" s="45" t="s">
        <v>38</v>
      </c>
      <c r="D1630" s="46"/>
      <c r="E1630" s="47">
        <v>314945</v>
      </c>
      <c r="F1630" s="48">
        <v>7</v>
      </c>
      <c r="G1630" s="45" t="s">
        <v>4155</v>
      </c>
      <c r="H1630" s="30" t="s">
        <v>2611</v>
      </c>
      <c r="I1630" s="51" t="s">
        <v>107</v>
      </c>
      <c r="J1630" s="55" t="s">
        <v>2538</v>
      </c>
      <c r="K1630" s="50" t="str">
        <f>"00027936"</f>
        <v>00027936</v>
      </c>
    </row>
    <row r="1631" spans="1:11" ht="45" customHeight="1">
      <c r="A1631" s="30">
        <v>105</v>
      </c>
      <c r="B1631" s="51" t="s">
        <v>346</v>
      </c>
      <c r="C1631" s="45" t="s">
        <v>38</v>
      </c>
      <c r="D1631" s="46"/>
      <c r="E1631" s="47">
        <v>28257</v>
      </c>
      <c r="F1631" s="48">
        <v>7</v>
      </c>
      <c r="G1631" s="45" t="s">
        <v>4198</v>
      </c>
      <c r="H1631" s="30" t="s">
        <v>2553</v>
      </c>
      <c r="I1631" s="51" t="s">
        <v>92</v>
      </c>
      <c r="J1631" s="45" t="s">
        <v>353</v>
      </c>
      <c r="K1631" s="50" t="str">
        <f>"00028923"</f>
        <v>00028923</v>
      </c>
    </row>
    <row r="1632" spans="1:11" ht="45" customHeight="1">
      <c r="A1632" s="30">
        <v>105</v>
      </c>
      <c r="B1632" s="45" t="s">
        <v>338</v>
      </c>
      <c r="C1632" s="45" t="s">
        <v>38</v>
      </c>
      <c r="D1632" s="46"/>
      <c r="E1632" s="47">
        <v>309868</v>
      </c>
      <c r="F1632" s="48">
        <v>7</v>
      </c>
      <c r="G1632" s="45" t="s">
        <v>4155</v>
      </c>
      <c r="H1632" s="30" t="s">
        <v>2611</v>
      </c>
      <c r="I1632" s="51" t="s">
        <v>107</v>
      </c>
      <c r="J1632" s="55" t="s">
        <v>2538</v>
      </c>
      <c r="K1632" s="50" t="str">
        <f>"00027938"</f>
        <v>00027938</v>
      </c>
    </row>
    <row r="1633" spans="1:11" ht="45" customHeight="1">
      <c r="A1633" s="30">
        <v>105</v>
      </c>
      <c r="B1633" s="45" t="s">
        <v>338</v>
      </c>
      <c r="C1633" s="45" t="s">
        <v>38</v>
      </c>
      <c r="D1633" s="46"/>
      <c r="E1633" s="47">
        <v>164884</v>
      </c>
      <c r="F1633" s="48">
        <v>7</v>
      </c>
      <c r="G1633" s="45" t="s">
        <v>4155</v>
      </c>
      <c r="H1633" s="30" t="s">
        <v>2606</v>
      </c>
      <c r="I1633" s="51" t="s">
        <v>107</v>
      </c>
      <c r="J1633" s="49" t="s">
        <v>2540</v>
      </c>
      <c r="K1633" s="50" t="str">
        <f>"00028071"</f>
        <v>00028071</v>
      </c>
    </row>
    <row r="1634" spans="1:11" ht="45" customHeight="1">
      <c r="A1634" s="30">
        <v>105</v>
      </c>
      <c r="B1634" s="45" t="s">
        <v>343</v>
      </c>
      <c r="C1634" s="45" t="s">
        <v>38</v>
      </c>
      <c r="D1634" s="46"/>
      <c r="E1634" s="47">
        <v>45736</v>
      </c>
      <c r="F1634" s="48">
        <v>7</v>
      </c>
      <c r="G1634" s="45" t="s">
        <v>4199</v>
      </c>
      <c r="H1634" s="30" t="s">
        <v>2547</v>
      </c>
      <c r="I1634" s="51" t="s">
        <v>179</v>
      </c>
      <c r="J1634" s="45" t="s">
        <v>2512</v>
      </c>
      <c r="K1634" s="50" t="str">
        <f>"00028740"</f>
        <v>00028740</v>
      </c>
    </row>
    <row r="1635" spans="1:11" ht="45" customHeight="1">
      <c r="A1635" s="30">
        <v>105</v>
      </c>
      <c r="B1635" s="45" t="s">
        <v>342</v>
      </c>
      <c r="C1635" s="45" t="s">
        <v>38</v>
      </c>
      <c r="D1635" s="46"/>
      <c r="E1635" s="47">
        <v>58487</v>
      </c>
      <c r="F1635" s="48">
        <v>7</v>
      </c>
      <c r="G1635" s="51" t="s">
        <v>4200</v>
      </c>
      <c r="H1635" s="30" t="s">
        <v>2550</v>
      </c>
      <c r="I1635" s="51" t="s">
        <v>107</v>
      </c>
      <c r="J1635" s="45" t="s">
        <v>336</v>
      </c>
      <c r="K1635" s="50" t="str">
        <f>"00028414"</f>
        <v>00028414</v>
      </c>
    </row>
    <row r="1636" spans="1:11" ht="45" customHeight="1">
      <c r="A1636" s="30">
        <v>105</v>
      </c>
      <c r="B1636" s="45" t="s">
        <v>342</v>
      </c>
      <c r="C1636" s="45" t="s">
        <v>38</v>
      </c>
      <c r="D1636" s="46"/>
      <c r="E1636" s="47">
        <v>16098</v>
      </c>
      <c r="F1636" s="48">
        <v>7</v>
      </c>
      <c r="G1636" s="45" t="s">
        <v>4201</v>
      </c>
      <c r="H1636" s="30" t="s">
        <v>2549</v>
      </c>
      <c r="I1636" s="51" t="s">
        <v>92</v>
      </c>
      <c r="J1636" s="45" t="s">
        <v>110</v>
      </c>
      <c r="K1636" s="50" t="str">
        <f>"00029765"</f>
        <v>00029765</v>
      </c>
    </row>
    <row r="1637" spans="1:11" ht="45" customHeight="1">
      <c r="A1637" s="30">
        <v>105</v>
      </c>
      <c r="B1637" s="45" t="s">
        <v>342</v>
      </c>
      <c r="C1637" s="45" t="s">
        <v>38</v>
      </c>
      <c r="D1637" s="46"/>
      <c r="E1637" s="47">
        <v>29666</v>
      </c>
      <c r="F1637" s="48">
        <v>7</v>
      </c>
      <c r="G1637" s="76" t="s">
        <v>4202</v>
      </c>
      <c r="H1637" s="30" t="s">
        <v>796</v>
      </c>
      <c r="I1637" s="51" t="s">
        <v>92</v>
      </c>
      <c r="J1637" s="45" t="s">
        <v>2548</v>
      </c>
      <c r="K1637" s="50" t="str">
        <f>"00028578"</f>
        <v>00028578</v>
      </c>
    </row>
    <row r="1638" spans="1:11" ht="45" customHeight="1">
      <c r="A1638" s="36"/>
      <c r="B1638" s="58" t="s">
        <v>357</v>
      </c>
      <c r="C1638" s="102"/>
      <c r="D1638" s="46"/>
      <c r="E1638" s="103">
        <f>SUM(E1510:E1637)</f>
        <v>10157158</v>
      </c>
      <c r="F1638" s="104"/>
      <c r="G1638" s="102"/>
      <c r="H1638" s="36"/>
      <c r="I1638" s="102"/>
      <c r="J1638" s="102"/>
      <c r="K1638" s="105"/>
    </row>
    <row r="1639" spans="1:11" ht="45" customHeight="1">
      <c r="A1639" s="36"/>
      <c r="B1639" s="60" t="s">
        <v>687</v>
      </c>
      <c r="C1639" s="102"/>
      <c r="D1639" s="46"/>
      <c r="E1639" s="103"/>
      <c r="F1639" s="104"/>
      <c r="G1639" s="102"/>
      <c r="H1639" s="36"/>
      <c r="I1639" s="102"/>
      <c r="J1639" s="102"/>
      <c r="K1639" s="105"/>
    </row>
    <row r="1640" spans="1:11" ht="45" customHeight="1">
      <c r="A1640" s="30">
        <v>105</v>
      </c>
      <c r="B1640" s="51" t="s">
        <v>2662</v>
      </c>
      <c r="C1640" s="45" t="s">
        <v>38</v>
      </c>
      <c r="D1640" s="46"/>
      <c r="E1640" s="47">
        <v>81504</v>
      </c>
      <c r="F1640" s="48">
        <v>7</v>
      </c>
      <c r="G1640" s="49" t="s">
        <v>2663</v>
      </c>
      <c r="H1640" s="30" t="s">
        <v>1809</v>
      </c>
      <c r="I1640" s="45" t="s">
        <v>104</v>
      </c>
      <c r="J1640" s="45" t="s">
        <v>685</v>
      </c>
      <c r="K1640" s="50" t="str">
        <f>"00030137"</f>
        <v>00030137</v>
      </c>
    </row>
    <row r="1641" spans="1:11" ht="45" customHeight="1">
      <c r="A1641" s="30">
        <v>105</v>
      </c>
      <c r="B1641" s="51" t="s">
        <v>2662</v>
      </c>
      <c r="C1641" s="45" t="s">
        <v>38</v>
      </c>
      <c r="D1641" s="46"/>
      <c r="E1641" s="47">
        <v>83000</v>
      </c>
      <c r="F1641" s="48">
        <v>7</v>
      </c>
      <c r="G1641" s="49" t="s">
        <v>2663</v>
      </c>
      <c r="H1641" s="30" t="s">
        <v>2041</v>
      </c>
      <c r="I1641" s="45" t="s">
        <v>104</v>
      </c>
      <c r="J1641" s="45" t="s">
        <v>685</v>
      </c>
      <c r="K1641" s="50" t="str">
        <f>"00030134"</f>
        <v>00030134</v>
      </c>
    </row>
    <row r="1642" spans="1:11" ht="45" customHeight="1">
      <c r="A1642" s="30">
        <v>105</v>
      </c>
      <c r="B1642" s="51" t="s">
        <v>2662</v>
      </c>
      <c r="C1642" s="45" t="s">
        <v>38</v>
      </c>
      <c r="D1642" s="46"/>
      <c r="E1642" s="47">
        <v>77026</v>
      </c>
      <c r="F1642" s="48">
        <v>7</v>
      </c>
      <c r="G1642" s="49" t="s">
        <v>2663</v>
      </c>
      <c r="H1642" s="30" t="s">
        <v>2664</v>
      </c>
      <c r="I1642" s="45" t="s">
        <v>104</v>
      </c>
      <c r="J1642" s="45" t="s">
        <v>685</v>
      </c>
      <c r="K1642" s="50" t="str">
        <f>"00030135"</f>
        <v>00030135</v>
      </c>
    </row>
    <row r="1643" spans="1:11" ht="45" customHeight="1">
      <c r="A1643" s="30">
        <v>105</v>
      </c>
      <c r="B1643" s="45" t="s">
        <v>2658</v>
      </c>
      <c r="C1643" s="45" t="s">
        <v>38</v>
      </c>
      <c r="D1643" s="46"/>
      <c r="E1643" s="47">
        <v>102699</v>
      </c>
      <c r="F1643" s="48">
        <v>7</v>
      </c>
      <c r="G1643" s="45" t="s">
        <v>2659</v>
      </c>
      <c r="H1643" s="30" t="s">
        <v>2660</v>
      </c>
      <c r="I1643" s="45" t="s">
        <v>107</v>
      </c>
      <c r="J1643" s="45" t="s">
        <v>2661</v>
      </c>
      <c r="K1643" s="50" t="str">
        <f>"00029639"</f>
        <v>00029639</v>
      </c>
    </row>
    <row r="1644" spans="1:11" ht="45" customHeight="1">
      <c r="A1644" s="30">
        <v>105</v>
      </c>
      <c r="B1644" s="51" t="s">
        <v>2662</v>
      </c>
      <c r="C1644" s="45" t="s">
        <v>38</v>
      </c>
      <c r="D1644" s="46"/>
      <c r="E1644" s="47">
        <v>75748</v>
      </c>
      <c r="F1644" s="48">
        <v>7</v>
      </c>
      <c r="G1644" s="49" t="s">
        <v>2663</v>
      </c>
      <c r="H1644" s="30" t="s">
        <v>2665</v>
      </c>
      <c r="I1644" s="45" t="s">
        <v>104</v>
      </c>
      <c r="J1644" s="45" t="s">
        <v>685</v>
      </c>
      <c r="K1644" s="50" t="str">
        <f>"00030140"</f>
        <v>00030140</v>
      </c>
    </row>
    <row r="1645" spans="1:11" ht="45" customHeight="1">
      <c r="A1645" s="30">
        <v>105</v>
      </c>
      <c r="B1645" s="45" t="s">
        <v>1916</v>
      </c>
      <c r="C1645" s="45" t="s">
        <v>38</v>
      </c>
      <c r="D1645" s="46"/>
      <c r="E1645" s="47">
        <v>120000</v>
      </c>
      <c r="F1645" s="48">
        <v>7</v>
      </c>
      <c r="G1645" s="53" t="s">
        <v>2652</v>
      </c>
      <c r="H1645" s="30" t="s">
        <v>2653</v>
      </c>
      <c r="I1645" s="45" t="s">
        <v>107</v>
      </c>
      <c r="J1645" s="53" t="s">
        <v>2654</v>
      </c>
      <c r="K1645" s="50" t="str">
        <f>"00028974"</f>
        <v>00028974</v>
      </c>
    </row>
    <row r="1646" spans="1:11" ht="45" customHeight="1">
      <c r="A1646" s="30">
        <v>105</v>
      </c>
      <c r="B1646" s="51" t="s">
        <v>2662</v>
      </c>
      <c r="C1646" s="45" t="s">
        <v>38</v>
      </c>
      <c r="D1646" s="46"/>
      <c r="E1646" s="47">
        <v>75545</v>
      </c>
      <c r="F1646" s="48">
        <v>7</v>
      </c>
      <c r="G1646" s="49" t="s">
        <v>2663</v>
      </c>
      <c r="H1646" s="30" t="s">
        <v>2666</v>
      </c>
      <c r="I1646" s="45" t="s">
        <v>104</v>
      </c>
      <c r="J1646" s="45" t="s">
        <v>685</v>
      </c>
      <c r="K1646" s="50" t="str">
        <f>"00030139"</f>
        <v>00030139</v>
      </c>
    </row>
    <row r="1647" spans="1:11" ht="45" customHeight="1">
      <c r="A1647" s="30">
        <v>105</v>
      </c>
      <c r="B1647" s="45" t="s">
        <v>2667</v>
      </c>
      <c r="C1647" s="45" t="s">
        <v>38</v>
      </c>
      <c r="D1647" s="46"/>
      <c r="E1647" s="47">
        <v>77058</v>
      </c>
      <c r="F1647" s="48">
        <v>7</v>
      </c>
      <c r="G1647" s="53" t="s">
        <v>2668</v>
      </c>
      <c r="H1647" s="30" t="s">
        <v>2669</v>
      </c>
      <c r="I1647" s="45" t="s">
        <v>92</v>
      </c>
      <c r="J1647" s="45" t="s">
        <v>156</v>
      </c>
      <c r="K1647" s="50" t="str">
        <f>"00028422"</f>
        <v>00028422</v>
      </c>
    </row>
    <row r="1648" spans="1:11" ht="45" customHeight="1">
      <c r="A1648" s="30">
        <v>105</v>
      </c>
      <c r="B1648" s="45" t="s">
        <v>2655</v>
      </c>
      <c r="C1648" s="45" t="s">
        <v>38</v>
      </c>
      <c r="D1648" s="46"/>
      <c r="E1648" s="47">
        <v>10000</v>
      </c>
      <c r="F1648" s="48">
        <v>7</v>
      </c>
      <c r="G1648" s="80" t="s">
        <v>2656</v>
      </c>
      <c r="H1648" s="30" t="s">
        <v>2657</v>
      </c>
      <c r="I1648" s="45" t="s">
        <v>104</v>
      </c>
      <c r="J1648" s="45" t="s">
        <v>685</v>
      </c>
      <c r="K1648" s="50" t="str">
        <f>"00031232"</f>
        <v>00031232</v>
      </c>
    </row>
    <row r="1649" spans="1:11" ht="45" customHeight="1">
      <c r="A1649" s="31"/>
      <c r="B1649" s="58" t="s">
        <v>688</v>
      </c>
      <c r="C1649" s="31"/>
      <c r="D1649" s="31"/>
      <c r="E1649" s="47">
        <f>SUM(E1640:E1648)</f>
        <v>702580</v>
      </c>
      <c r="F1649" s="31"/>
      <c r="G1649" s="31"/>
      <c r="H1649" s="31"/>
      <c r="I1649" s="31"/>
      <c r="J1649" s="31"/>
      <c r="K1649" s="31"/>
    </row>
    <row r="1650" spans="1:11" ht="45" customHeight="1">
      <c r="A1650" s="36"/>
      <c r="B1650" s="106" t="s">
        <v>374</v>
      </c>
      <c r="C1650" s="102"/>
      <c r="D1650" s="46"/>
      <c r="E1650" s="103"/>
      <c r="F1650" s="104"/>
      <c r="G1650" s="107"/>
      <c r="H1650" s="36"/>
      <c r="I1650" s="102"/>
      <c r="J1650" s="102"/>
      <c r="K1650" s="93"/>
    </row>
    <row r="1651" spans="1:11" ht="45" customHeight="1">
      <c r="A1651" s="30">
        <v>105</v>
      </c>
      <c r="B1651" s="45" t="s">
        <v>2353</v>
      </c>
      <c r="C1651" s="45" t="s">
        <v>38</v>
      </c>
      <c r="D1651" s="46"/>
      <c r="E1651" s="47">
        <v>140000</v>
      </c>
      <c r="F1651" s="48">
        <v>7</v>
      </c>
      <c r="G1651" s="49" t="s">
        <v>3654</v>
      </c>
      <c r="H1651" s="30" t="s">
        <v>2354</v>
      </c>
      <c r="I1651" s="45" t="s">
        <v>104</v>
      </c>
      <c r="J1651" s="45" t="s">
        <v>176</v>
      </c>
      <c r="K1651" s="50" t="str">
        <f>"00026800"</f>
        <v>00026800</v>
      </c>
    </row>
    <row r="1652" spans="1:11" ht="45" customHeight="1">
      <c r="A1652" s="30">
        <v>105</v>
      </c>
      <c r="B1652" s="45" t="s">
        <v>2351</v>
      </c>
      <c r="C1652" s="45" t="s">
        <v>38</v>
      </c>
      <c r="D1652" s="46"/>
      <c r="E1652" s="47">
        <v>127201</v>
      </c>
      <c r="F1652" s="48">
        <v>7</v>
      </c>
      <c r="G1652" s="76" t="s">
        <v>3661</v>
      </c>
      <c r="H1652" s="30" t="s">
        <v>2352</v>
      </c>
      <c r="I1652" s="45" t="s">
        <v>92</v>
      </c>
      <c r="J1652" s="45" t="s">
        <v>110</v>
      </c>
      <c r="K1652" s="50" t="str">
        <f>"00027119"</f>
        <v>00027119</v>
      </c>
    </row>
    <row r="1653" spans="1:11" ht="45" customHeight="1">
      <c r="A1653" s="30">
        <v>105</v>
      </c>
      <c r="B1653" s="45" t="s">
        <v>730</v>
      </c>
      <c r="C1653" s="45" t="s">
        <v>38</v>
      </c>
      <c r="D1653" s="46"/>
      <c r="E1653" s="47">
        <v>57731</v>
      </c>
      <c r="F1653" s="48">
        <v>7</v>
      </c>
      <c r="G1653" s="45" t="s">
        <v>3655</v>
      </c>
      <c r="H1653" s="30" t="s">
        <v>2357</v>
      </c>
      <c r="I1653" s="45" t="s">
        <v>92</v>
      </c>
      <c r="J1653" s="45" t="s">
        <v>110</v>
      </c>
      <c r="K1653" s="50" t="str">
        <f>"00028825"</f>
        <v>00028825</v>
      </c>
    </row>
    <row r="1654" spans="1:11" ht="45" customHeight="1">
      <c r="A1654" s="30">
        <v>105</v>
      </c>
      <c r="B1654" s="45" t="s">
        <v>2363</v>
      </c>
      <c r="C1654" s="45" t="s">
        <v>38</v>
      </c>
      <c r="D1654" s="46"/>
      <c r="E1654" s="47">
        <v>100000</v>
      </c>
      <c r="F1654" s="48">
        <v>7</v>
      </c>
      <c r="G1654" s="53" t="s">
        <v>3656</v>
      </c>
      <c r="H1654" s="30" t="s">
        <v>2364</v>
      </c>
      <c r="I1654" s="45" t="s">
        <v>107</v>
      </c>
      <c r="J1654" s="49" t="s">
        <v>2365</v>
      </c>
      <c r="K1654" s="50" t="str">
        <f>"00029258"</f>
        <v>00029258</v>
      </c>
    </row>
    <row r="1655" spans="1:11" ht="45" customHeight="1">
      <c r="A1655" s="30">
        <v>105</v>
      </c>
      <c r="B1655" s="95" t="s">
        <v>1473</v>
      </c>
      <c r="C1655" s="45" t="s">
        <v>38</v>
      </c>
      <c r="D1655" s="46"/>
      <c r="E1655" s="47">
        <v>161310</v>
      </c>
      <c r="F1655" s="48">
        <v>7</v>
      </c>
      <c r="G1655" s="76" t="s">
        <v>3657</v>
      </c>
      <c r="H1655" s="30" t="s">
        <v>2355</v>
      </c>
      <c r="I1655" s="45" t="s">
        <v>107</v>
      </c>
      <c r="J1655" s="45" t="s">
        <v>2356</v>
      </c>
      <c r="K1655" s="50" t="str">
        <f>"00027590"</f>
        <v>00027590</v>
      </c>
    </row>
    <row r="1656" spans="1:11" ht="45" customHeight="1">
      <c r="A1656" s="30">
        <v>105</v>
      </c>
      <c r="B1656" s="45" t="s">
        <v>376</v>
      </c>
      <c r="C1656" s="45" t="s">
        <v>38</v>
      </c>
      <c r="D1656" s="46"/>
      <c r="E1656" s="47">
        <v>83908</v>
      </c>
      <c r="F1656" s="48">
        <v>7</v>
      </c>
      <c r="G1656" s="53" t="s">
        <v>3662</v>
      </c>
      <c r="H1656" s="30" t="s">
        <v>2360</v>
      </c>
      <c r="I1656" s="49" t="s">
        <v>2361</v>
      </c>
      <c r="J1656" s="49" t="s">
        <v>2362</v>
      </c>
      <c r="K1656" s="50" t="str">
        <f>"00030024"</f>
        <v>00030024</v>
      </c>
    </row>
    <row r="1657" spans="1:11" ht="45" customHeight="1">
      <c r="A1657" s="30">
        <v>105</v>
      </c>
      <c r="B1657" s="45" t="s">
        <v>2358</v>
      </c>
      <c r="C1657" s="45" t="s">
        <v>38</v>
      </c>
      <c r="D1657" s="46"/>
      <c r="E1657" s="47">
        <v>152483</v>
      </c>
      <c r="F1657" s="48">
        <v>7</v>
      </c>
      <c r="G1657" s="45" t="s">
        <v>3658</v>
      </c>
      <c r="H1657" s="30" t="s">
        <v>2359</v>
      </c>
      <c r="I1657" s="45" t="s">
        <v>107</v>
      </c>
      <c r="J1657" s="45" t="s">
        <v>184</v>
      </c>
      <c r="K1657" s="50" t="str">
        <f>"00031887"</f>
        <v>00031887</v>
      </c>
    </row>
    <row r="1658" spans="1:11" ht="45" customHeight="1">
      <c r="A1658" s="30">
        <v>105</v>
      </c>
      <c r="B1658" s="45" t="s">
        <v>2358</v>
      </c>
      <c r="C1658" s="45" t="s">
        <v>38</v>
      </c>
      <c r="D1658" s="46"/>
      <c r="E1658" s="47">
        <v>101025</v>
      </c>
      <c r="F1658" s="48">
        <v>7</v>
      </c>
      <c r="G1658" s="45" t="s">
        <v>3659</v>
      </c>
      <c r="H1658" s="30" t="s">
        <v>2366</v>
      </c>
      <c r="I1658" s="45" t="s">
        <v>92</v>
      </c>
      <c r="J1658" s="45" t="s">
        <v>110</v>
      </c>
      <c r="K1658" s="50" t="str">
        <f>"00030817"</f>
        <v>00030817</v>
      </c>
    </row>
    <row r="1659" spans="1:11" ht="45" customHeight="1">
      <c r="A1659" s="30">
        <v>105</v>
      </c>
      <c r="B1659" s="45" t="s">
        <v>2367</v>
      </c>
      <c r="C1659" s="45" t="s">
        <v>38</v>
      </c>
      <c r="D1659" s="46"/>
      <c r="E1659" s="47">
        <v>34819</v>
      </c>
      <c r="F1659" s="48">
        <v>7</v>
      </c>
      <c r="G1659" s="76" t="s">
        <v>3663</v>
      </c>
      <c r="H1659" s="30" t="s">
        <v>2368</v>
      </c>
      <c r="I1659" s="45" t="s">
        <v>92</v>
      </c>
      <c r="J1659" s="45" t="s">
        <v>2369</v>
      </c>
      <c r="K1659" s="50" t="str">
        <f>"00030436"</f>
        <v>00030436</v>
      </c>
    </row>
    <row r="1660" spans="1:11" ht="45" customHeight="1">
      <c r="A1660" s="30">
        <v>105</v>
      </c>
      <c r="B1660" s="45" t="s">
        <v>2370</v>
      </c>
      <c r="C1660" s="45" t="s">
        <v>38</v>
      </c>
      <c r="D1660" s="46"/>
      <c r="E1660" s="47">
        <v>164361</v>
      </c>
      <c r="F1660" s="48">
        <v>7</v>
      </c>
      <c r="G1660" s="76" t="s">
        <v>3664</v>
      </c>
      <c r="H1660" s="30" t="s">
        <v>2371</v>
      </c>
      <c r="I1660" s="51" t="s">
        <v>378</v>
      </c>
      <c r="J1660" s="51" t="s">
        <v>378</v>
      </c>
      <c r="K1660" s="62" t="s">
        <v>3666</v>
      </c>
    </row>
    <row r="1661" spans="1:11" ht="45" customHeight="1">
      <c r="A1661" s="30">
        <v>105</v>
      </c>
      <c r="B1661" s="45" t="s">
        <v>2370</v>
      </c>
      <c r="C1661" s="45" t="s">
        <v>38</v>
      </c>
      <c r="D1661" s="46"/>
      <c r="E1661" s="47">
        <v>164361</v>
      </c>
      <c r="F1661" s="48">
        <v>7</v>
      </c>
      <c r="G1661" s="76" t="s">
        <v>3665</v>
      </c>
      <c r="H1661" s="30" t="s">
        <v>2371</v>
      </c>
      <c r="I1661" s="51" t="s">
        <v>378</v>
      </c>
      <c r="J1661" s="51" t="s">
        <v>378</v>
      </c>
      <c r="K1661" s="62" t="s">
        <v>3667</v>
      </c>
    </row>
    <row r="1662" spans="1:11" ht="45" customHeight="1">
      <c r="A1662" s="30">
        <v>105</v>
      </c>
      <c r="B1662" s="45" t="s">
        <v>1486</v>
      </c>
      <c r="C1662" s="45" t="s">
        <v>38</v>
      </c>
      <c r="D1662" s="46"/>
      <c r="E1662" s="47">
        <v>10997</v>
      </c>
      <c r="F1662" s="48">
        <v>7</v>
      </c>
      <c r="G1662" s="45" t="s">
        <v>3660</v>
      </c>
      <c r="H1662" s="30" t="s">
        <v>1488</v>
      </c>
      <c r="I1662" s="45" t="s">
        <v>92</v>
      </c>
      <c r="J1662" s="45" t="s">
        <v>156</v>
      </c>
      <c r="K1662" s="50" t="str">
        <f>"00032529"</f>
        <v>00032529</v>
      </c>
    </row>
    <row r="1663" spans="1:11" ht="45" customHeight="1">
      <c r="A1663" s="36"/>
      <c r="B1663" s="108" t="s">
        <v>375</v>
      </c>
      <c r="C1663" s="102"/>
      <c r="D1663" s="46"/>
      <c r="E1663" s="103">
        <f>SUM(E1651:E1662)</f>
        <v>1298196</v>
      </c>
      <c r="F1663" s="104"/>
      <c r="G1663" s="107"/>
      <c r="H1663" s="36"/>
      <c r="I1663" s="102"/>
      <c r="J1663" s="102"/>
      <c r="K1663" s="105"/>
    </row>
    <row r="1664" spans="1:11" ht="45" customHeight="1">
      <c r="A1664" s="36"/>
      <c r="B1664" s="109" t="s">
        <v>389</v>
      </c>
      <c r="C1664" s="102"/>
      <c r="D1664" s="46"/>
      <c r="E1664" s="103"/>
      <c r="F1664" s="104"/>
      <c r="G1664" s="107"/>
      <c r="H1664" s="36"/>
      <c r="I1664" s="102"/>
      <c r="J1664" s="102"/>
      <c r="K1664" s="93"/>
    </row>
    <row r="1665" spans="1:11" ht="45" customHeight="1">
      <c r="A1665" s="30">
        <v>105</v>
      </c>
      <c r="B1665" s="45" t="s">
        <v>384</v>
      </c>
      <c r="C1665" s="45" t="s">
        <v>38</v>
      </c>
      <c r="D1665" s="46"/>
      <c r="E1665" s="47">
        <v>97000</v>
      </c>
      <c r="F1665" s="48">
        <v>7</v>
      </c>
      <c r="G1665" s="45" t="s">
        <v>2381</v>
      </c>
      <c r="H1665" s="30" t="s">
        <v>2382</v>
      </c>
      <c r="I1665" s="45" t="s">
        <v>161</v>
      </c>
      <c r="J1665" s="45" t="s">
        <v>162</v>
      </c>
      <c r="K1665" s="61" t="s">
        <v>3713</v>
      </c>
    </row>
    <row r="1666" spans="1:11" ht="45" customHeight="1">
      <c r="A1666" s="30">
        <v>105</v>
      </c>
      <c r="B1666" s="45" t="s">
        <v>383</v>
      </c>
      <c r="C1666" s="45" t="s">
        <v>38</v>
      </c>
      <c r="D1666" s="46"/>
      <c r="E1666" s="47">
        <v>94327</v>
      </c>
      <c r="F1666" s="48">
        <v>7</v>
      </c>
      <c r="G1666" s="45" t="s">
        <v>2379</v>
      </c>
      <c r="H1666" s="30" t="s">
        <v>2380</v>
      </c>
      <c r="I1666" s="45" t="s">
        <v>394</v>
      </c>
      <c r="J1666" s="45" t="s">
        <v>395</v>
      </c>
      <c r="K1666" s="61" t="s">
        <v>3714</v>
      </c>
    </row>
    <row r="1667" spans="1:11" ht="45" customHeight="1">
      <c r="A1667" s="30">
        <v>105</v>
      </c>
      <c r="B1667" s="45" t="s">
        <v>384</v>
      </c>
      <c r="C1667" s="45" t="s">
        <v>38</v>
      </c>
      <c r="D1667" s="46"/>
      <c r="E1667" s="47">
        <v>65784</v>
      </c>
      <c r="F1667" s="48">
        <v>7</v>
      </c>
      <c r="G1667" s="45" t="s">
        <v>2377</v>
      </c>
      <c r="H1667" s="30" t="s">
        <v>2378</v>
      </c>
      <c r="I1667" s="45" t="s">
        <v>161</v>
      </c>
      <c r="J1667" s="45" t="s">
        <v>162</v>
      </c>
      <c r="K1667" s="61" t="s">
        <v>3715</v>
      </c>
    </row>
    <row r="1668" spans="1:11" ht="45" customHeight="1">
      <c r="A1668" s="30">
        <v>105</v>
      </c>
      <c r="B1668" s="45" t="s">
        <v>384</v>
      </c>
      <c r="C1668" s="45" t="s">
        <v>38</v>
      </c>
      <c r="D1668" s="46"/>
      <c r="E1668" s="47">
        <v>112343</v>
      </c>
      <c r="F1668" s="48">
        <v>7</v>
      </c>
      <c r="G1668" s="45" t="s">
        <v>2372</v>
      </c>
      <c r="H1668" s="30" t="s">
        <v>1898</v>
      </c>
      <c r="I1668" s="45" t="s">
        <v>161</v>
      </c>
      <c r="J1668" s="45" t="s">
        <v>162</v>
      </c>
      <c r="K1668" s="61" t="s">
        <v>3716</v>
      </c>
    </row>
    <row r="1669" spans="1:11" ht="45" customHeight="1">
      <c r="A1669" s="30">
        <v>105</v>
      </c>
      <c r="B1669" s="45" t="s">
        <v>383</v>
      </c>
      <c r="C1669" s="45" t="s">
        <v>38</v>
      </c>
      <c r="D1669" s="46"/>
      <c r="E1669" s="47">
        <v>120598</v>
      </c>
      <c r="F1669" s="48">
        <v>7</v>
      </c>
      <c r="G1669" s="45" t="s">
        <v>2373</v>
      </c>
      <c r="H1669" s="30" t="s">
        <v>2374</v>
      </c>
      <c r="I1669" s="45" t="s">
        <v>394</v>
      </c>
      <c r="J1669" s="45" t="s">
        <v>395</v>
      </c>
      <c r="K1669" s="61" t="s">
        <v>3717</v>
      </c>
    </row>
    <row r="1670" spans="1:11" ht="45" customHeight="1">
      <c r="A1670" s="30">
        <v>105</v>
      </c>
      <c r="B1670" s="45" t="s">
        <v>383</v>
      </c>
      <c r="C1670" s="45" t="s">
        <v>38</v>
      </c>
      <c r="D1670" s="46"/>
      <c r="E1670" s="47">
        <v>252058</v>
      </c>
      <c r="F1670" s="48">
        <v>7</v>
      </c>
      <c r="G1670" s="53" t="s">
        <v>2375</v>
      </c>
      <c r="H1670" s="30" t="s">
        <v>2376</v>
      </c>
      <c r="I1670" s="45" t="s">
        <v>104</v>
      </c>
      <c r="J1670" s="45" t="s">
        <v>176</v>
      </c>
      <c r="K1670" s="61" t="s">
        <v>3718</v>
      </c>
    </row>
    <row r="1671" spans="1:11" ht="45" customHeight="1">
      <c r="A1671" s="36"/>
      <c r="B1671" s="108" t="s">
        <v>390</v>
      </c>
      <c r="C1671" s="102"/>
      <c r="D1671" s="46"/>
      <c r="E1671" s="103">
        <f>SUM(E1665:E1670)</f>
        <v>742110</v>
      </c>
      <c r="F1671" s="104"/>
      <c r="G1671" s="102"/>
      <c r="H1671" s="36"/>
      <c r="I1671" s="102"/>
      <c r="J1671" s="102"/>
      <c r="K1671" s="105"/>
    </row>
    <row r="1672" spans="1:11" ht="45" customHeight="1">
      <c r="A1672" s="36"/>
      <c r="B1672" s="109" t="s">
        <v>397</v>
      </c>
      <c r="C1672" s="102"/>
      <c r="D1672" s="46"/>
      <c r="E1672" s="103"/>
      <c r="F1672" s="104"/>
      <c r="G1672" s="102"/>
      <c r="H1672" s="36"/>
      <c r="I1672" s="102"/>
      <c r="J1672" s="102"/>
      <c r="K1672" s="93"/>
    </row>
    <row r="1673" spans="1:11" ht="45" customHeight="1">
      <c r="A1673" s="30">
        <v>105</v>
      </c>
      <c r="B1673" s="45" t="s">
        <v>408</v>
      </c>
      <c r="C1673" s="45" t="s">
        <v>38</v>
      </c>
      <c r="D1673" s="46"/>
      <c r="E1673" s="47">
        <v>64104</v>
      </c>
      <c r="F1673" s="48">
        <v>7</v>
      </c>
      <c r="G1673" s="49" t="s">
        <v>3852</v>
      </c>
      <c r="H1673" s="30" t="s">
        <v>2388</v>
      </c>
      <c r="I1673" s="45" t="s">
        <v>92</v>
      </c>
      <c r="J1673" s="45" t="s">
        <v>93</v>
      </c>
      <c r="K1673" s="61" t="s">
        <v>3947</v>
      </c>
    </row>
    <row r="1674" spans="1:11" ht="45" customHeight="1">
      <c r="A1674" s="30">
        <v>105</v>
      </c>
      <c r="B1674" s="45" t="s">
        <v>2384</v>
      </c>
      <c r="C1674" s="45" t="s">
        <v>38</v>
      </c>
      <c r="D1674" s="46"/>
      <c r="E1674" s="47">
        <v>132417</v>
      </c>
      <c r="F1674" s="48">
        <v>7</v>
      </c>
      <c r="G1674" s="45" t="s">
        <v>3853</v>
      </c>
      <c r="H1674" s="30" t="s">
        <v>2385</v>
      </c>
      <c r="I1674" s="45" t="s">
        <v>92</v>
      </c>
      <c r="J1674" s="45" t="s">
        <v>156</v>
      </c>
      <c r="K1674" s="61" t="s">
        <v>3953</v>
      </c>
    </row>
    <row r="1675" spans="1:11" ht="45" customHeight="1">
      <c r="A1675" s="30">
        <v>105</v>
      </c>
      <c r="B1675" s="45" t="s">
        <v>408</v>
      </c>
      <c r="C1675" s="45" t="s">
        <v>38</v>
      </c>
      <c r="D1675" s="46"/>
      <c r="E1675" s="47">
        <v>55896</v>
      </c>
      <c r="F1675" s="48">
        <v>7</v>
      </c>
      <c r="G1675" s="45" t="s">
        <v>3854</v>
      </c>
      <c r="H1675" s="30" t="s">
        <v>2383</v>
      </c>
      <c r="I1675" s="45" t="s">
        <v>92</v>
      </c>
      <c r="J1675" s="45" t="s">
        <v>2369</v>
      </c>
      <c r="K1675" s="61" t="s">
        <v>3948</v>
      </c>
    </row>
    <row r="1676" spans="1:11" ht="45" customHeight="1">
      <c r="A1676" s="30">
        <v>105</v>
      </c>
      <c r="B1676" s="45" t="s">
        <v>2386</v>
      </c>
      <c r="C1676" s="45" t="s">
        <v>38</v>
      </c>
      <c r="D1676" s="46"/>
      <c r="E1676" s="47">
        <v>97945</v>
      </c>
      <c r="F1676" s="48">
        <v>7</v>
      </c>
      <c r="G1676" s="45" t="s">
        <v>3855</v>
      </c>
      <c r="H1676" s="30" t="s">
        <v>2387</v>
      </c>
      <c r="I1676" s="45" t="s">
        <v>92</v>
      </c>
      <c r="J1676" s="45" t="s">
        <v>110</v>
      </c>
      <c r="K1676" s="61" t="s">
        <v>3949</v>
      </c>
    </row>
    <row r="1677" spans="1:11" ht="45" customHeight="1">
      <c r="A1677" s="30">
        <v>105</v>
      </c>
      <c r="B1677" s="45" t="s">
        <v>2386</v>
      </c>
      <c r="C1677" s="45" t="s">
        <v>38</v>
      </c>
      <c r="D1677" s="46"/>
      <c r="E1677" s="47">
        <v>81093</v>
      </c>
      <c r="F1677" s="48">
        <v>7</v>
      </c>
      <c r="G1677" s="51" t="s">
        <v>3945</v>
      </c>
      <c r="H1677" s="30" t="s">
        <v>1722</v>
      </c>
      <c r="I1677" s="45" t="s">
        <v>92</v>
      </c>
      <c r="J1677" s="45" t="s">
        <v>110</v>
      </c>
      <c r="K1677" s="61" t="s">
        <v>3950</v>
      </c>
    </row>
    <row r="1678" spans="1:11" ht="45" customHeight="1">
      <c r="A1678" s="30">
        <v>105</v>
      </c>
      <c r="B1678" s="45" t="s">
        <v>744</v>
      </c>
      <c r="C1678" s="45" t="s">
        <v>38</v>
      </c>
      <c r="D1678" s="46"/>
      <c r="E1678" s="47">
        <v>55891</v>
      </c>
      <c r="F1678" s="48">
        <v>7</v>
      </c>
      <c r="G1678" s="49" t="s">
        <v>3856</v>
      </c>
      <c r="H1678" s="30" t="s">
        <v>2392</v>
      </c>
      <c r="I1678" s="45" t="s">
        <v>92</v>
      </c>
      <c r="J1678" s="49" t="s">
        <v>2393</v>
      </c>
      <c r="K1678" s="50" t="str">
        <f>"00028519"</f>
        <v>00028519</v>
      </c>
    </row>
    <row r="1679" spans="1:11" ht="45" customHeight="1">
      <c r="A1679" s="30">
        <v>105</v>
      </c>
      <c r="B1679" s="45" t="s">
        <v>744</v>
      </c>
      <c r="C1679" s="45" t="s">
        <v>38</v>
      </c>
      <c r="D1679" s="46"/>
      <c r="E1679" s="47">
        <v>52316</v>
      </c>
      <c r="F1679" s="48">
        <v>7</v>
      </c>
      <c r="G1679" s="45" t="s">
        <v>3860</v>
      </c>
      <c r="H1679" s="30" t="s">
        <v>2389</v>
      </c>
      <c r="I1679" s="45" t="s">
        <v>92</v>
      </c>
      <c r="J1679" s="45" t="s">
        <v>2390</v>
      </c>
      <c r="K1679" s="61" t="s">
        <v>3951</v>
      </c>
    </row>
    <row r="1680" spans="1:11" ht="45" customHeight="1">
      <c r="A1680" s="30">
        <v>105</v>
      </c>
      <c r="B1680" s="45" t="s">
        <v>396</v>
      </c>
      <c r="C1680" s="45" t="s">
        <v>38</v>
      </c>
      <c r="D1680" s="46"/>
      <c r="E1680" s="47">
        <v>101021</v>
      </c>
      <c r="F1680" s="48">
        <v>7</v>
      </c>
      <c r="G1680" s="45" t="s">
        <v>3857</v>
      </c>
      <c r="H1680" s="30" t="s">
        <v>2391</v>
      </c>
      <c r="I1680" s="45" t="s">
        <v>92</v>
      </c>
      <c r="J1680" s="45" t="s">
        <v>110</v>
      </c>
      <c r="K1680" s="61" t="s">
        <v>3952</v>
      </c>
    </row>
    <row r="1681" spans="1:11" ht="45" customHeight="1">
      <c r="A1681" s="30">
        <v>105</v>
      </c>
      <c r="B1681" s="51" t="s">
        <v>2396</v>
      </c>
      <c r="C1681" s="45" t="s">
        <v>38</v>
      </c>
      <c r="D1681" s="46"/>
      <c r="E1681" s="47">
        <v>103173</v>
      </c>
      <c r="F1681" s="48">
        <v>7</v>
      </c>
      <c r="G1681" s="45" t="s">
        <v>3858</v>
      </c>
      <c r="H1681" s="30" t="s">
        <v>2397</v>
      </c>
      <c r="I1681" s="45" t="s">
        <v>104</v>
      </c>
      <c r="J1681" s="45" t="s">
        <v>176</v>
      </c>
      <c r="K1681" s="50" t="str">
        <f>"00030455"</f>
        <v>00030455</v>
      </c>
    </row>
    <row r="1682" spans="1:11" ht="45" customHeight="1">
      <c r="A1682" s="30">
        <v>105</v>
      </c>
      <c r="B1682" s="45" t="s">
        <v>1529</v>
      </c>
      <c r="C1682" s="45" t="s">
        <v>38</v>
      </c>
      <c r="D1682" s="46"/>
      <c r="E1682" s="47">
        <v>145000</v>
      </c>
      <c r="F1682" s="48">
        <v>7</v>
      </c>
      <c r="G1682" s="49" t="s">
        <v>3946</v>
      </c>
      <c r="H1682" s="30" t="s">
        <v>2398</v>
      </c>
      <c r="I1682" s="45" t="s">
        <v>107</v>
      </c>
      <c r="J1682" s="45" t="s">
        <v>184</v>
      </c>
      <c r="K1682" s="50" t="str">
        <f>"00030039"</f>
        <v>00030039</v>
      </c>
    </row>
    <row r="1683" spans="1:11" ht="45" customHeight="1">
      <c r="A1683" s="30">
        <v>105</v>
      </c>
      <c r="B1683" s="45" t="s">
        <v>2394</v>
      </c>
      <c r="C1683" s="45" t="s">
        <v>38</v>
      </c>
      <c r="D1683" s="46"/>
      <c r="E1683" s="47">
        <v>140000</v>
      </c>
      <c r="F1683" s="48">
        <v>7</v>
      </c>
      <c r="G1683" s="76" t="s">
        <v>3859</v>
      </c>
      <c r="H1683" s="30" t="s">
        <v>2395</v>
      </c>
      <c r="I1683" s="45" t="s">
        <v>158</v>
      </c>
      <c r="J1683" s="45" t="s">
        <v>592</v>
      </c>
      <c r="K1683" s="50" t="str">
        <f>"00031264"</f>
        <v>00031264</v>
      </c>
    </row>
    <row r="1684" spans="1:11" ht="45" customHeight="1">
      <c r="A1684" s="36"/>
      <c r="B1684" s="108" t="s">
        <v>402</v>
      </c>
      <c r="C1684" s="102"/>
      <c r="D1684" s="46"/>
      <c r="E1684" s="103">
        <f>SUM(E1673:E1683)</f>
        <v>1028856</v>
      </c>
      <c r="F1684" s="104"/>
      <c r="G1684" s="102"/>
      <c r="H1684" s="36"/>
      <c r="I1684" s="102"/>
      <c r="J1684" s="102"/>
      <c r="K1684" s="45"/>
    </row>
    <row r="1685" spans="1:11" ht="45" customHeight="1">
      <c r="A1685" s="30"/>
      <c r="B1685" s="60" t="s">
        <v>415</v>
      </c>
      <c r="C1685" s="45"/>
      <c r="D1685" s="46"/>
      <c r="E1685" s="47"/>
      <c r="F1685" s="30"/>
      <c r="G1685" s="45"/>
      <c r="H1685" s="45"/>
      <c r="I1685" s="45"/>
      <c r="J1685" s="45"/>
      <c r="K1685" s="93"/>
    </row>
    <row r="1686" spans="1:11" ht="45" customHeight="1">
      <c r="A1686" s="30">
        <v>105</v>
      </c>
      <c r="B1686" s="45" t="s">
        <v>2400</v>
      </c>
      <c r="C1686" s="45" t="s">
        <v>38</v>
      </c>
      <c r="D1686" s="46"/>
      <c r="E1686" s="47">
        <v>240074</v>
      </c>
      <c r="F1686" s="48">
        <v>7</v>
      </c>
      <c r="G1686" s="51" t="s">
        <v>3954</v>
      </c>
      <c r="H1686" s="30" t="s">
        <v>1823</v>
      </c>
      <c r="I1686" s="45" t="s">
        <v>107</v>
      </c>
      <c r="J1686" s="45" t="s">
        <v>184</v>
      </c>
      <c r="K1686" s="61" t="s">
        <v>3964</v>
      </c>
    </row>
    <row r="1687" spans="1:11" ht="45" customHeight="1">
      <c r="A1687" s="30">
        <v>105</v>
      </c>
      <c r="B1687" s="45" t="s">
        <v>745</v>
      </c>
      <c r="C1687" s="45" t="s">
        <v>38</v>
      </c>
      <c r="D1687" s="46"/>
      <c r="E1687" s="47">
        <v>11705</v>
      </c>
      <c r="F1687" s="48">
        <v>7</v>
      </c>
      <c r="G1687" s="49" t="s">
        <v>3955</v>
      </c>
      <c r="H1687" s="30" t="s">
        <v>2401</v>
      </c>
      <c r="I1687" s="45" t="s">
        <v>104</v>
      </c>
      <c r="J1687" s="45" t="s">
        <v>360</v>
      </c>
      <c r="K1687" s="50" t="s">
        <v>3940</v>
      </c>
    </row>
    <row r="1688" spans="1:11" ht="45" customHeight="1">
      <c r="A1688" s="30">
        <v>105</v>
      </c>
      <c r="B1688" s="45" t="s">
        <v>427</v>
      </c>
      <c r="C1688" s="45" t="s">
        <v>38</v>
      </c>
      <c r="D1688" s="46"/>
      <c r="E1688" s="47">
        <v>63447</v>
      </c>
      <c r="F1688" s="48">
        <v>7</v>
      </c>
      <c r="G1688" s="53" t="s">
        <v>3956</v>
      </c>
      <c r="H1688" s="30" t="s">
        <v>1821</v>
      </c>
      <c r="I1688" s="45" t="s">
        <v>92</v>
      </c>
      <c r="J1688" s="45" t="s">
        <v>283</v>
      </c>
      <c r="K1688" s="50" t="s">
        <v>3941</v>
      </c>
    </row>
    <row r="1689" spans="1:11" ht="45" customHeight="1">
      <c r="A1689" s="30">
        <v>105</v>
      </c>
      <c r="B1689" s="45" t="s">
        <v>2402</v>
      </c>
      <c r="C1689" s="45" t="s">
        <v>38</v>
      </c>
      <c r="D1689" s="46"/>
      <c r="E1689" s="47">
        <v>89999</v>
      </c>
      <c r="F1689" s="48">
        <v>7</v>
      </c>
      <c r="G1689" s="52" t="s">
        <v>3957</v>
      </c>
      <c r="H1689" s="30" t="s">
        <v>2403</v>
      </c>
      <c r="I1689" s="45" t="s">
        <v>2404</v>
      </c>
      <c r="J1689" s="49" t="s">
        <v>2405</v>
      </c>
      <c r="K1689" s="50" t="s">
        <v>3942</v>
      </c>
    </row>
    <row r="1690" spans="1:11" ht="45" customHeight="1">
      <c r="A1690" s="30">
        <v>105</v>
      </c>
      <c r="B1690" s="45" t="s">
        <v>1531</v>
      </c>
      <c r="C1690" s="45" t="s">
        <v>38</v>
      </c>
      <c r="D1690" s="46"/>
      <c r="E1690" s="47">
        <v>225594</v>
      </c>
      <c r="F1690" s="48">
        <v>7</v>
      </c>
      <c r="G1690" s="45" t="s">
        <v>3958</v>
      </c>
      <c r="H1690" s="30" t="s">
        <v>2408</v>
      </c>
      <c r="I1690" s="45" t="s">
        <v>91</v>
      </c>
      <c r="J1690" s="45" t="s">
        <v>2409</v>
      </c>
      <c r="K1690" s="50" t="s">
        <v>3943</v>
      </c>
    </row>
    <row r="1691" spans="1:11" ht="45" customHeight="1">
      <c r="A1691" s="30">
        <v>105</v>
      </c>
      <c r="B1691" s="49" t="s">
        <v>2399</v>
      </c>
      <c r="C1691" s="45" t="s">
        <v>38</v>
      </c>
      <c r="D1691" s="46"/>
      <c r="E1691" s="47">
        <v>14551</v>
      </c>
      <c r="F1691" s="48">
        <v>7</v>
      </c>
      <c r="G1691" s="45" t="s">
        <v>3959</v>
      </c>
      <c r="H1691" s="30" t="s">
        <v>2025</v>
      </c>
      <c r="I1691" s="45" t="s">
        <v>104</v>
      </c>
      <c r="J1691" s="45" t="s">
        <v>176</v>
      </c>
      <c r="K1691" s="50" t="s">
        <v>3944</v>
      </c>
    </row>
    <row r="1692" spans="1:11" ht="45" customHeight="1">
      <c r="A1692" s="30">
        <v>105</v>
      </c>
      <c r="B1692" s="45" t="s">
        <v>411</v>
      </c>
      <c r="C1692" s="45" t="s">
        <v>38</v>
      </c>
      <c r="D1692" s="46"/>
      <c r="E1692" s="47">
        <v>11806</v>
      </c>
      <c r="F1692" s="48">
        <v>7</v>
      </c>
      <c r="G1692" s="51" t="s">
        <v>3960</v>
      </c>
      <c r="H1692" s="30" t="s">
        <v>2037</v>
      </c>
      <c r="I1692" s="45" t="s">
        <v>120</v>
      </c>
      <c r="J1692" s="45" t="s">
        <v>120</v>
      </c>
      <c r="K1692" s="61" t="s">
        <v>3962</v>
      </c>
    </row>
    <row r="1693" spans="1:11" ht="45" customHeight="1">
      <c r="A1693" s="30">
        <v>105</v>
      </c>
      <c r="B1693" s="45" t="s">
        <v>1532</v>
      </c>
      <c r="C1693" s="45" t="s">
        <v>38</v>
      </c>
      <c r="D1693" s="46"/>
      <c r="E1693" s="47">
        <v>18976</v>
      </c>
      <c r="F1693" s="48">
        <v>7</v>
      </c>
      <c r="G1693" s="45" t="s">
        <v>3961</v>
      </c>
      <c r="H1693" s="30" t="s">
        <v>2406</v>
      </c>
      <c r="I1693" s="45" t="s">
        <v>179</v>
      </c>
      <c r="J1693" s="45" t="s">
        <v>2407</v>
      </c>
      <c r="K1693" s="61" t="s">
        <v>3963</v>
      </c>
    </row>
    <row r="1694" spans="1:11" ht="45" customHeight="1">
      <c r="A1694" s="30">
        <v>105</v>
      </c>
      <c r="B1694" s="45" t="s">
        <v>206</v>
      </c>
      <c r="C1694" s="45" t="s">
        <v>38</v>
      </c>
      <c r="D1694" s="46"/>
      <c r="E1694" s="47">
        <v>16942</v>
      </c>
      <c r="F1694" s="48">
        <v>7</v>
      </c>
      <c r="G1694" s="49" t="s">
        <v>3968</v>
      </c>
      <c r="H1694" s="30" t="s">
        <v>968</v>
      </c>
      <c r="I1694" s="51" t="s">
        <v>3965</v>
      </c>
      <c r="J1694" s="49" t="s">
        <v>3966</v>
      </c>
      <c r="K1694" s="50" t="s">
        <v>3967</v>
      </c>
    </row>
    <row r="1695" spans="1:11" ht="45" customHeight="1">
      <c r="A1695" s="30"/>
      <c r="B1695" s="58" t="s">
        <v>423</v>
      </c>
      <c r="C1695" s="45"/>
      <c r="D1695" s="46"/>
      <c r="E1695" s="47">
        <f>SUM(E1686:E1694)</f>
        <v>693094</v>
      </c>
      <c r="F1695" s="30"/>
      <c r="G1695" s="45"/>
      <c r="H1695" s="45"/>
      <c r="I1695" s="45"/>
      <c r="J1695" s="45"/>
      <c r="K1695" s="50"/>
    </row>
    <row r="1696" spans="1:11" ht="45" customHeight="1">
      <c r="A1696" s="30"/>
      <c r="B1696" s="60" t="s">
        <v>452</v>
      </c>
      <c r="C1696" s="45"/>
      <c r="D1696" s="46"/>
      <c r="E1696" s="47"/>
      <c r="F1696" s="48"/>
      <c r="G1696" s="45"/>
      <c r="H1696" s="30"/>
      <c r="I1696" s="45"/>
      <c r="J1696" s="45"/>
      <c r="K1696" s="50"/>
    </row>
    <row r="1697" spans="1:11" ht="45" customHeight="1">
      <c r="A1697" s="30">
        <v>105</v>
      </c>
      <c r="B1697" s="45" t="s">
        <v>2425</v>
      </c>
      <c r="C1697" s="45" t="s">
        <v>38</v>
      </c>
      <c r="D1697" s="46"/>
      <c r="E1697" s="47">
        <v>137707</v>
      </c>
      <c r="F1697" s="48">
        <v>7</v>
      </c>
      <c r="G1697" s="45" t="s">
        <v>3999</v>
      </c>
      <c r="H1697" s="30" t="s">
        <v>2426</v>
      </c>
      <c r="I1697" s="45" t="s">
        <v>92</v>
      </c>
      <c r="J1697" s="45" t="s">
        <v>110</v>
      </c>
      <c r="K1697" s="50" t="str">
        <f>"00027849"</f>
        <v>00027849</v>
      </c>
    </row>
    <row r="1698" spans="1:11" ht="45" customHeight="1">
      <c r="A1698" s="30">
        <v>105</v>
      </c>
      <c r="B1698" s="45" t="s">
        <v>450</v>
      </c>
      <c r="C1698" s="45" t="s">
        <v>38</v>
      </c>
      <c r="D1698" s="46"/>
      <c r="E1698" s="47">
        <v>184924</v>
      </c>
      <c r="F1698" s="48">
        <v>7</v>
      </c>
      <c r="G1698" s="76" t="s">
        <v>4000</v>
      </c>
      <c r="H1698" s="30" t="s">
        <v>2427</v>
      </c>
      <c r="I1698" s="45" t="s">
        <v>107</v>
      </c>
      <c r="J1698" s="53" t="s">
        <v>2428</v>
      </c>
      <c r="K1698" s="62" t="s">
        <v>4015</v>
      </c>
    </row>
    <row r="1699" spans="1:11" ht="45" customHeight="1">
      <c r="A1699" s="30">
        <v>105</v>
      </c>
      <c r="B1699" s="45" t="s">
        <v>451</v>
      </c>
      <c r="C1699" s="45" t="s">
        <v>38</v>
      </c>
      <c r="D1699" s="46"/>
      <c r="E1699" s="47">
        <v>119455</v>
      </c>
      <c r="F1699" s="48">
        <v>7</v>
      </c>
      <c r="G1699" s="45" t="s">
        <v>4001</v>
      </c>
      <c r="H1699" s="30" t="s">
        <v>2422</v>
      </c>
      <c r="I1699" s="49" t="s">
        <v>2423</v>
      </c>
      <c r="J1699" s="53" t="s">
        <v>2424</v>
      </c>
      <c r="K1699" s="50" t="str">
        <f>"00028375"</f>
        <v>00028375</v>
      </c>
    </row>
    <row r="1700" spans="1:11" ht="45" customHeight="1">
      <c r="A1700" s="30">
        <v>105</v>
      </c>
      <c r="B1700" s="45" t="s">
        <v>446</v>
      </c>
      <c r="C1700" s="45" t="s">
        <v>38</v>
      </c>
      <c r="D1700" s="46"/>
      <c r="E1700" s="47">
        <v>146052</v>
      </c>
      <c r="F1700" s="48">
        <v>7</v>
      </c>
      <c r="G1700" s="45" t="s">
        <v>4002</v>
      </c>
      <c r="H1700" s="30" t="s">
        <v>1544</v>
      </c>
      <c r="I1700" s="45" t="s">
        <v>107</v>
      </c>
      <c r="J1700" s="49" t="s">
        <v>1545</v>
      </c>
      <c r="K1700" s="62" t="s">
        <v>4014</v>
      </c>
    </row>
    <row r="1701" spans="1:11" ht="45" customHeight="1">
      <c r="A1701" s="30">
        <v>105</v>
      </c>
      <c r="B1701" s="45" t="s">
        <v>2410</v>
      </c>
      <c r="C1701" s="45" t="s">
        <v>38</v>
      </c>
      <c r="D1701" s="46"/>
      <c r="E1701" s="47">
        <v>113828</v>
      </c>
      <c r="F1701" s="48">
        <v>7</v>
      </c>
      <c r="G1701" s="45" t="s">
        <v>4003</v>
      </c>
      <c r="H1701" s="30" t="s">
        <v>2411</v>
      </c>
      <c r="I1701" s="45" t="s">
        <v>111</v>
      </c>
      <c r="J1701" s="45" t="s">
        <v>220</v>
      </c>
      <c r="K1701" s="50" t="str">
        <f>"00027284"</f>
        <v>00027284</v>
      </c>
    </row>
    <row r="1702" spans="1:11" ht="45" customHeight="1">
      <c r="A1702" s="30">
        <v>105</v>
      </c>
      <c r="B1702" s="45" t="s">
        <v>1543</v>
      </c>
      <c r="C1702" s="45" t="s">
        <v>38</v>
      </c>
      <c r="D1702" s="46"/>
      <c r="E1702" s="47">
        <v>95623</v>
      </c>
      <c r="F1702" s="48">
        <v>7</v>
      </c>
      <c r="G1702" s="45" t="s">
        <v>4004</v>
      </c>
      <c r="H1702" s="30" t="s">
        <v>3996</v>
      </c>
      <c r="I1702" s="45" t="s">
        <v>92</v>
      </c>
      <c r="J1702" s="45" t="s">
        <v>156</v>
      </c>
      <c r="K1702" s="62" t="s">
        <v>4010</v>
      </c>
    </row>
    <row r="1703" spans="1:11" ht="45" customHeight="1">
      <c r="A1703" s="30">
        <v>105</v>
      </c>
      <c r="B1703" s="45" t="s">
        <v>2416</v>
      </c>
      <c r="C1703" s="45" t="s">
        <v>38</v>
      </c>
      <c r="D1703" s="46"/>
      <c r="E1703" s="47">
        <v>80478</v>
      </c>
      <c r="F1703" s="48">
        <v>7</v>
      </c>
      <c r="G1703" s="52" t="s">
        <v>4005</v>
      </c>
      <c r="H1703" s="30" t="s">
        <v>2417</v>
      </c>
      <c r="I1703" s="45" t="s">
        <v>100</v>
      </c>
      <c r="J1703" s="45" t="s">
        <v>689</v>
      </c>
      <c r="K1703" s="62" t="s">
        <v>4011</v>
      </c>
    </row>
    <row r="1704" spans="1:11" ht="45" customHeight="1">
      <c r="A1704" s="30">
        <v>105</v>
      </c>
      <c r="B1704" s="45" t="s">
        <v>2412</v>
      </c>
      <c r="C1704" s="45" t="s">
        <v>38</v>
      </c>
      <c r="D1704" s="46"/>
      <c r="E1704" s="47">
        <v>158052</v>
      </c>
      <c r="F1704" s="48">
        <v>7</v>
      </c>
      <c r="G1704" s="45" t="s">
        <v>4006</v>
      </c>
      <c r="H1704" s="30" t="s">
        <v>2413</v>
      </c>
      <c r="I1704" s="53" t="s">
        <v>2414</v>
      </c>
      <c r="J1704" s="52" t="s">
        <v>2415</v>
      </c>
      <c r="K1704" s="62" t="s">
        <v>4012</v>
      </c>
    </row>
    <row r="1705" spans="1:11" ht="45" customHeight="1">
      <c r="A1705" s="30">
        <v>105</v>
      </c>
      <c r="B1705" s="45" t="s">
        <v>2412</v>
      </c>
      <c r="C1705" s="45" t="s">
        <v>38</v>
      </c>
      <c r="D1705" s="46"/>
      <c r="E1705" s="47">
        <v>84686</v>
      </c>
      <c r="F1705" s="48">
        <v>7</v>
      </c>
      <c r="G1705" s="45" t="s">
        <v>4006</v>
      </c>
      <c r="H1705" s="30" t="s">
        <v>1898</v>
      </c>
      <c r="I1705" s="45" t="s">
        <v>2420</v>
      </c>
      <c r="J1705" s="49" t="s">
        <v>2421</v>
      </c>
      <c r="K1705" s="62" t="s">
        <v>4013</v>
      </c>
    </row>
    <row r="1706" spans="1:11" ht="45" customHeight="1">
      <c r="A1706" s="30">
        <v>105</v>
      </c>
      <c r="B1706" s="45" t="s">
        <v>2418</v>
      </c>
      <c r="C1706" s="45" t="s">
        <v>38</v>
      </c>
      <c r="D1706" s="46"/>
      <c r="E1706" s="47">
        <v>150000</v>
      </c>
      <c r="F1706" s="48">
        <v>7</v>
      </c>
      <c r="G1706" s="45" t="s">
        <v>4007</v>
      </c>
      <c r="H1706" s="30" t="s">
        <v>2419</v>
      </c>
      <c r="I1706" s="45" t="s">
        <v>107</v>
      </c>
      <c r="J1706" s="51" t="s">
        <v>490</v>
      </c>
      <c r="K1706" s="50" t="str">
        <f>"00027650"</f>
        <v>00027650</v>
      </c>
    </row>
    <row r="1707" spans="1:11" ht="45" customHeight="1">
      <c r="A1707" s="30">
        <v>105</v>
      </c>
      <c r="B1707" s="45" t="s">
        <v>3997</v>
      </c>
      <c r="C1707" s="45" t="s">
        <v>38</v>
      </c>
      <c r="D1707" s="46"/>
      <c r="E1707" s="47">
        <v>75858</v>
      </c>
      <c r="F1707" s="48">
        <v>7</v>
      </c>
      <c r="G1707" s="52" t="s">
        <v>4008</v>
      </c>
      <c r="H1707" s="30" t="s">
        <v>1544</v>
      </c>
      <c r="I1707" s="45" t="s">
        <v>107</v>
      </c>
      <c r="J1707" s="49" t="s">
        <v>1545</v>
      </c>
      <c r="K1707" s="50" t="str">
        <f>"00027897"</f>
        <v>00027897</v>
      </c>
    </row>
    <row r="1708" spans="1:11" ht="45" customHeight="1">
      <c r="A1708" s="30">
        <v>105</v>
      </c>
      <c r="B1708" s="45" t="s">
        <v>3998</v>
      </c>
      <c r="C1708" s="45" t="s">
        <v>38</v>
      </c>
      <c r="D1708" s="46"/>
      <c r="E1708" s="47">
        <v>5952</v>
      </c>
      <c r="F1708" s="48">
        <v>7</v>
      </c>
      <c r="G1708" s="45" t="s">
        <v>4009</v>
      </c>
      <c r="H1708" s="30" t="s">
        <v>1807</v>
      </c>
      <c r="I1708" s="45" t="s">
        <v>107</v>
      </c>
      <c r="J1708" s="45" t="s">
        <v>108</v>
      </c>
      <c r="K1708" s="50" t="str">
        <f>"00031557"</f>
        <v>00031557</v>
      </c>
    </row>
    <row r="1709" spans="1:11" ht="45" customHeight="1">
      <c r="A1709" s="30"/>
      <c r="B1709" s="58" t="s">
        <v>453</v>
      </c>
      <c r="C1709" s="45"/>
      <c r="D1709" s="46"/>
      <c r="E1709" s="47">
        <f>SUM(E1697:E1708)</f>
        <v>1352615</v>
      </c>
      <c r="F1709" s="48"/>
      <c r="G1709" s="45"/>
      <c r="H1709" s="30"/>
      <c r="I1709" s="45"/>
      <c r="J1709" s="45"/>
      <c r="K1709" s="50"/>
    </row>
    <row r="1710" spans="1:11" ht="45" customHeight="1">
      <c r="A1710" s="30"/>
      <c r="B1710" s="60" t="s">
        <v>460</v>
      </c>
      <c r="C1710" s="45"/>
      <c r="D1710" s="46"/>
      <c r="E1710" s="47"/>
      <c r="F1710" s="48"/>
      <c r="G1710" s="45"/>
      <c r="H1710" s="30"/>
      <c r="I1710" s="45"/>
      <c r="J1710" s="45"/>
      <c r="K1710" s="50"/>
    </row>
    <row r="1711" spans="1:11" ht="45" customHeight="1">
      <c r="A1711" s="30">
        <v>105</v>
      </c>
      <c r="B1711" s="45" t="s">
        <v>457</v>
      </c>
      <c r="C1711" s="45" t="s">
        <v>38</v>
      </c>
      <c r="D1711" s="46"/>
      <c r="E1711" s="47">
        <v>236181</v>
      </c>
      <c r="F1711" s="48">
        <v>7</v>
      </c>
      <c r="G1711" s="45" t="s">
        <v>4374</v>
      </c>
      <c r="H1711" s="30" t="s">
        <v>2507</v>
      </c>
      <c r="I1711" s="45" t="s">
        <v>107</v>
      </c>
      <c r="J1711" s="45" t="s">
        <v>2508</v>
      </c>
      <c r="K1711" s="50" t="s">
        <v>4369</v>
      </c>
    </row>
    <row r="1712" spans="1:11" ht="45" customHeight="1">
      <c r="A1712" s="30">
        <v>105</v>
      </c>
      <c r="B1712" s="45" t="s">
        <v>1827</v>
      </c>
      <c r="C1712" s="45" t="s">
        <v>38</v>
      </c>
      <c r="D1712" s="46"/>
      <c r="E1712" s="47">
        <v>40312</v>
      </c>
      <c r="F1712" s="48">
        <v>7</v>
      </c>
      <c r="G1712" s="45" t="s">
        <v>4375</v>
      </c>
      <c r="H1712" s="30" t="s">
        <v>2492</v>
      </c>
      <c r="I1712" s="45" t="s">
        <v>92</v>
      </c>
      <c r="J1712" s="45" t="s">
        <v>93</v>
      </c>
      <c r="K1712" s="50" t="s">
        <v>4370</v>
      </c>
    </row>
    <row r="1713" spans="1:11" ht="45" customHeight="1">
      <c r="A1713" s="30">
        <v>105</v>
      </c>
      <c r="B1713" s="45" t="s">
        <v>2489</v>
      </c>
      <c r="C1713" s="45" t="s">
        <v>38</v>
      </c>
      <c r="D1713" s="46"/>
      <c r="E1713" s="47">
        <v>105000</v>
      </c>
      <c r="F1713" s="48">
        <v>7</v>
      </c>
      <c r="G1713" s="45" t="s">
        <v>4376</v>
      </c>
      <c r="H1713" s="30" t="s">
        <v>2490</v>
      </c>
      <c r="I1713" s="45" t="s">
        <v>116</v>
      </c>
      <c r="J1713" s="45" t="s">
        <v>2491</v>
      </c>
      <c r="K1713" s="54" t="s">
        <v>4378</v>
      </c>
    </row>
    <row r="1714" spans="1:11" ht="45" customHeight="1">
      <c r="A1714" s="30">
        <v>105</v>
      </c>
      <c r="B1714" s="45" t="s">
        <v>2501</v>
      </c>
      <c r="C1714" s="45" t="s">
        <v>38</v>
      </c>
      <c r="D1714" s="46"/>
      <c r="E1714" s="47">
        <v>88013</v>
      </c>
      <c r="F1714" s="48">
        <v>7</v>
      </c>
      <c r="G1714" s="45" t="s">
        <v>461</v>
      </c>
      <c r="H1714" s="30" t="s">
        <v>2502</v>
      </c>
      <c r="I1714" s="45" t="s">
        <v>92</v>
      </c>
      <c r="J1714" s="45" t="s">
        <v>110</v>
      </c>
      <c r="K1714" s="50" t="s">
        <v>4371</v>
      </c>
    </row>
    <row r="1715" spans="1:11" ht="45" customHeight="1">
      <c r="A1715" s="30">
        <v>105</v>
      </c>
      <c r="B1715" s="45" t="s">
        <v>749</v>
      </c>
      <c r="C1715" s="45" t="s">
        <v>38</v>
      </c>
      <c r="D1715" s="46"/>
      <c r="E1715" s="47">
        <v>134817</v>
      </c>
      <c r="F1715" s="48">
        <v>7</v>
      </c>
      <c r="G1715" s="45" t="s">
        <v>5480</v>
      </c>
      <c r="H1715" s="30" t="s">
        <v>2505</v>
      </c>
      <c r="I1715" s="45" t="s">
        <v>107</v>
      </c>
      <c r="J1715" s="52" t="s">
        <v>2506</v>
      </c>
      <c r="K1715" s="61" t="s">
        <v>4379</v>
      </c>
    </row>
    <row r="1716" spans="1:11" ht="45" customHeight="1">
      <c r="A1716" s="30">
        <v>105</v>
      </c>
      <c r="B1716" s="45" t="s">
        <v>2499</v>
      </c>
      <c r="C1716" s="45" t="s">
        <v>38</v>
      </c>
      <c r="D1716" s="46"/>
      <c r="E1716" s="47">
        <v>56082</v>
      </c>
      <c r="F1716" s="48">
        <v>7</v>
      </c>
      <c r="G1716" s="45" t="s">
        <v>5481</v>
      </c>
      <c r="H1716" s="30" t="s">
        <v>2500</v>
      </c>
      <c r="I1716" s="45" t="s">
        <v>92</v>
      </c>
      <c r="J1716" s="45" t="s">
        <v>156</v>
      </c>
      <c r="K1716" s="62" t="s">
        <v>4381</v>
      </c>
    </row>
    <row r="1717" spans="1:11" ht="45" customHeight="1">
      <c r="A1717" s="30">
        <v>105</v>
      </c>
      <c r="B1717" s="45" t="s">
        <v>5358</v>
      </c>
      <c r="C1717" s="45" t="s">
        <v>38</v>
      </c>
      <c r="D1717" s="46"/>
      <c r="E1717" s="47">
        <v>100053</v>
      </c>
      <c r="F1717" s="48">
        <v>7</v>
      </c>
      <c r="G1717" s="49" t="s">
        <v>5482</v>
      </c>
      <c r="H1717" s="30" t="s">
        <v>5359</v>
      </c>
      <c r="I1717" s="45" t="s">
        <v>100</v>
      </c>
      <c r="J1717" s="51" t="s">
        <v>5360</v>
      </c>
      <c r="K1717" s="97" t="s">
        <v>5373</v>
      </c>
    </row>
    <row r="1718" spans="1:11" ht="45" customHeight="1">
      <c r="A1718" s="30">
        <v>105</v>
      </c>
      <c r="B1718" s="51" t="s">
        <v>2503</v>
      </c>
      <c r="C1718" s="45" t="s">
        <v>38</v>
      </c>
      <c r="D1718" s="46"/>
      <c r="E1718" s="47">
        <v>72141</v>
      </c>
      <c r="F1718" s="48">
        <v>7</v>
      </c>
      <c r="G1718" s="45" t="s">
        <v>5483</v>
      </c>
      <c r="H1718" s="30" t="s">
        <v>2504</v>
      </c>
      <c r="I1718" s="45" t="s">
        <v>92</v>
      </c>
      <c r="J1718" s="45" t="s">
        <v>353</v>
      </c>
      <c r="K1718" s="61" t="s">
        <v>4380</v>
      </c>
    </row>
    <row r="1719" spans="1:11" ht="45" customHeight="1">
      <c r="A1719" s="30">
        <v>105</v>
      </c>
      <c r="B1719" s="45" t="s">
        <v>2497</v>
      </c>
      <c r="C1719" s="45" t="s">
        <v>38</v>
      </c>
      <c r="D1719" s="46"/>
      <c r="E1719" s="47">
        <v>200000</v>
      </c>
      <c r="F1719" s="48">
        <v>7</v>
      </c>
      <c r="G1719" s="45" t="s">
        <v>4377</v>
      </c>
      <c r="H1719" s="30" t="s">
        <v>2498</v>
      </c>
      <c r="I1719" s="45" t="s">
        <v>111</v>
      </c>
      <c r="J1719" s="45" t="s">
        <v>445</v>
      </c>
      <c r="K1719" s="50" t="str">
        <f>"00028002"</f>
        <v>00028002</v>
      </c>
    </row>
    <row r="1720" spans="1:11" ht="45" customHeight="1">
      <c r="A1720" s="30">
        <v>105</v>
      </c>
      <c r="B1720" s="45" t="s">
        <v>2495</v>
      </c>
      <c r="C1720" s="45" t="s">
        <v>38</v>
      </c>
      <c r="D1720" s="46"/>
      <c r="E1720" s="47">
        <v>59914</v>
      </c>
      <c r="F1720" s="48">
        <v>7</v>
      </c>
      <c r="G1720" s="45" t="s">
        <v>463</v>
      </c>
      <c r="H1720" s="30" t="s">
        <v>1996</v>
      </c>
      <c r="I1720" s="45" t="s">
        <v>92</v>
      </c>
      <c r="J1720" s="45" t="s">
        <v>110</v>
      </c>
      <c r="K1720" s="50" t="s">
        <v>4372</v>
      </c>
    </row>
    <row r="1721" spans="1:11" ht="45" customHeight="1">
      <c r="A1721" s="30">
        <v>105</v>
      </c>
      <c r="B1721" s="45" t="s">
        <v>2493</v>
      </c>
      <c r="C1721" s="45" t="s">
        <v>38</v>
      </c>
      <c r="D1721" s="46"/>
      <c r="E1721" s="47">
        <v>80000</v>
      </c>
      <c r="F1721" s="48">
        <v>7</v>
      </c>
      <c r="G1721" s="45" t="s">
        <v>5484</v>
      </c>
      <c r="H1721" s="30" t="s">
        <v>2494</v>
      </c>
      <c r="I1721" s="45" t="s">
        <v>92</v>
      </c>
      <c r="J1721" s="49" t="s">
        <v>4383</v>
      </c>
      <c r="K1721" s="54" t="s">
        <v>4382</v>
      </c>
    </row>
    <row r="1722" spans="1:11" ht="45" customHeight="1">
      <c r="A1722" s="30">
        <v>105</v>
      </c>
      <c r="B1722" s="45" t="s">
        <v>458</v>
      </c>
      <c r="C1722" s="45" t="s">
        <v>38</v>
      </c>
      <c r="D1722" s="46"/>
      <c r="E1722" s="47">
        <v>109664</v>
      </c>
      <c r="F1722" s="48">
        <v>7</v>
      </c>
      <c r="G1722" s="45" t="s">
        <v>5485</v>
      </c>
      <c r="H1722" s="30" t="s">
        <v>2496</v>
      </c>
      <c r="I1722" s="45" t="s">
        <v>111</v>
      </c>
      <c r="J1722" s="45" t="s">
        <v>445</v>
      </c>
      <c r="K1722" s="50" t="s">
        <v>4373</v>
      </c>
    </row>
    <row r="1723" spans="1:11" ht="45" customHeight="1">
      <c r="A1723" s="30"/>
      <c r="B1723" s="58" t="s">
        <v>459</v>
      </c>
      <c r="C1723" s="45"/>
      <c r="D1723" s="46"/>
      <c r="E1723" s="47">
        <f>SUM(E1711:E1722)</f>
        <v>1282177</v>
      </c>
      <c r="F1723" s="48"/>
      <c r="G1723" s="45"/>
      <c r="H1723" s="30"/>
      <c r="I1723" s="45"/>
      <c r="J1723" s="45"/>
      <c r="K1723" s="45"/>
    </row>
    <row r="1724" spans="1:11" ht="45" customHeight="1">
      <c r="A1724" s="30"/>
      <c r="B1724" s="60" t="s">
        <v>465</v>
      </c>
      <c r="C1724" s="45"/>
      <c r="D1724" s="46"/>
      <c r="E1724" s="47"/>
      <c r="F1724" s="48"/>
      <c r="G1724" s="45"/>
      <c r="H1724" s="30"/>
      <c r="I1724" s="45"/>
      <c r="J1724" s="45"/>
      <c r="K1724" s="45"/>
    </row>
    <row r="1725" spans="1:11" ht="45" customHeight="1">
      <c r="A1725" s="30">
        <v>105</v>
      </c>
      <c r="B1725" s="45" t="s">
        <v>2628</v>
      </c>
      <c r="C1725" s="45" t="s">
        <v>38</v>
      </c>
      <c r="D1725" s="46"/>
      <c r="E1725" s="47">
        <v>53841</v>
      </c>
      <c r="F1725" s="48">
        <v>7</v>
      </c>
      <c r="G1725" s="76" t="s">
        <v>5486</v>
      </c>
      <c r="H1725" s="30" t="s">
        <v>2629</v>
      </c>
      <c r="I1725" s="45" t="s">
        <v>92</v>
      </c>
      <c r="J1725" s="45" t="s">
        <v>2630</v>
      </c>
      <c r="K1725" s="50" t="str">
        <f>"00029433"</f>
        <v>00029433</v>
      </c>
    </row>
    <row r="1726" spans="1:11" ht="45" customHeight="1">
      <c r="A1726" s="30">
        <v>105</v>
      </c>
      <c r="B1726" s="45" t="s">
        <v>2634</v>
      </c>
      <c r="C1726" s="45" t="s">
        <v>38</v>
      </c>
      <c r="D1726" s="46"/>
      <c r="E1726" s="47">
        <v>79385</v>
      </c>
      <c r="F1726" s="48">
        <v>7</v>
      </c>
      <c r="G1726" s="52" t="s">
        <v>4022</v>
      </c>
      <c r="H1726" s="30" t="s">
        <v>2635</v>
      </c>
      <c r="I1726" s="45" t="s">
        <v>92</v>
      </c>
      <c r="J1726" s="49" t="s">
        <v>2636</v>
      </c>
      <c r="K1726" s="50" t="str">
        <f>"00030036"</f>
        <v>00030036</v>
      </c>
    </row>
    <row r="1727" spans="1:11" ht="45" customHeight="1">
      <c r="A1727" s="30">
        <v>105</v>
      </c>
      <c r="B1727" s="45" t="s">
        <v>471</v>
      </c>
      <c r="C1727" s="45" t="s">
        <v>38</v>
      </c>
      <c r="D1727" s="46"/>
      <c r="E1727" s="47">
        <v>25731</v>
      </c>
      <c r="F1727" s="48">
        <v>7</v>
      </c>
      <c r="G1727" s="76" t="s">
        <v>4023</v>
      </c>
      <c r="H1727" s="30" t="s">
        <v>2638</v>
      </c>
      <c r="I1727" s="45" t="s">
        <v>100</v>
      </c>
      <c r="J1727" s="45" t="s">
        <v>101</v>
      </c>
      <c r="K1727" s="50" t="str">
        <f>"00027978"</f>
        <v>00027978</v>
      </c>
    </row>
    <row r="1728" spans="1:11" ht="45" customHeight="1">
      <c r="A1728" s="30">
        <v>105</v>
      </c>
      <c r="B1728" s="45" t="s">
        <v>2634</v>
      </c>
      <c r="C1728" s="45" t="s">
        <v>38</v>
      </c>
      <c r="D1728" s="46"/>
      <c r="E1728" s="47">
        <v>79385</v>
      </c>
      <c r="F1728" s="48">
        <v>7</v>
      </c>
      <c r="G1728" s="52" t="s">
        <v>4024</v>
      </c>
      <c r="H1728" s="30" t="s">
        <v>2635</v>
      </c>
      <c r="I1728" s="45" t="s">
        <v>92</v>
      </c>
      <c r="J1728" s="76" t="s">
        <v>2636</v>
      </c>
      <c r="K1728" s="50" t="str">
        <f>"00030038"</f>
        <v>00030038</v>
      </c>
    </row>
    <row r="1729" spans="1:11" ht="45" customHeight="1">
      <c r="A1729" s="30">
        <v>105</v>
      </c>
      <c r="B1729" s="45" t="s">
        <v>2634</v>
      </c>
      <c r="C1729" s="45" t="s">
        <v>38</v>
      </c>
      <c r="D1729" s="46"/>
      <c r="E1729" s="47">
        <v>71867</v>
      </c>
      <c r="F1729" s="48">
        <v>7</v>
      </c>
      <c r="G1729" s="52" t="s">
        <v>4025</v>
      </c>
      <c r="H1729" s="30" t="s">
        <v>1278</v>
      </c>
      <c r="I1729" s="45" t="s">
        <v>92</v>
      </c>
      <c r="J1729" s="45" t="s">
        <v>2637</v>
      </c>
      <c r="K1729" s="50" t="str">
        <f>"00030043"</f>
        <v>00030043</v>
      </c>
    </row>
    <row r="1730" spans="1:11" ht="45" customHeight="1">
      <c r="A1730" s="30">
        <v>105</v>
      </c>
      <c r="B1730" s="45" t="s">
        <v>2634</v>
      </c>
      <c r="C1730" s="45" t="s">
        <v>38</v>
      </c>
      <c r="D1730" s="46"/>
      <c r="E1730" s="47">
        <v>79385</v>
      </c>
      <c r="F1730" s="48">
        <v>7</v>
      </c>
      <c r="G1730" s="57" t="s">
        <v>4026</v>
      </c>
      <c r="H1730" s="30" t="s">
        <v>2635</v>
      </c>
      <c r="I1730" s="45" t="s">
        <v>92</v>
      </c>
      <c r="J1730" s="76" t="s">
        <v>2636</v>
      </c>
      <c r="K1730" s="50" t="str">
        <f>"00030040"</f>
        <v>00030040</v>
      </c>
    </row>
    <row r="1731" spans="1:11" ht="45" customHeight="1">
      <c r="A1731" s="30">
        <v>105</v>
      </c>
      <c r="B1731" s="51" t="s">
        <v>2631</v>
      </c>
      <c r="C1731" s="45" t="s">
        <v>38</v>
      </c>
      <c r="D1731" s="46"/>
      <c r="E1731" s="47">
        <v>56079</v>
      </c>
      <c r="F1731" s="48">
        <v>7</v>
      </c>
      <c r="G1731" s="53" t="s">
        <v>4027</v>
      </c>
      <c r="H1731" s="30" t="s">
        <v>2632</v>
      </c>
      <c r="I1731" s="45" t="s">
        <v>92</v>
      </c>
      <c r="J1731" s="45" t="s">
        <v>110</v>
      </c>
      <c r="K1731" s="50" t="str">
        <f>"00032442"</f>
        <v>00032442</v>
      </c>
    </row>
    <row r="1732" spans="1:11" ht="45" customHeight="1">
      <c r="A1732" s="30">
        <v>105</v>
      </c>
      <c r="B1732" s="45" t="s">
        <v>2633</v>
      </c>
      <c r="C1732" s="45" t="s">
        <v>38</v>
      </c>
      <c r="D1732" s="46"/>
      <c r="E1732" s="47">
        <v>79735</v>
      </c>
      <c r="F1732" s="48">
        <v>7</v>
      </c>
      <c r="G1732" s="49" t="s">
        <v>4028</v>
      </c>
      <c r="H1732" s="30" t="s">
        <v>847</v>
      </c>
      <c r="I1732" s="45" t="s">
        <v>92</v>
      </c>
      <c r="J1732" s="45" t="s">
        <v>110</v>
      </c>
      <c r="K1732" s="50" t="str">
        <f>"00031536"</f>
        <v>00031536</v>
      </c>
    </row>
    <row r="1733" spans="1:11" ht="45" customHeight="1">
      <c r="A1733" s="30">
        <v>105</v>
      </c>
      <c r="B1733" s="45" t="s">
        <v>2634</v>
      </c>
      <c r="C1733" s="45" t="s">
        <v>38</v>
      </c>
      <c r="D1733" s="46"/>
      <c r="E1733" s="47">
        <v>79385</v>
      </c>
      <c r="F1733" s="48">
        <v>7</v>
      </c>
      <c r="G1733" s="57" t="s">
        <v>4029</v>
      </c>
      <c r="H1733" s="30" t="s">
        <v>2635</v>
      </c>
      <c r="I1733" s="45" t="s">
        <v>92</v>
      </c>
      <c r="J1733" s="76" t="s">
        <v>2636</v>
      </c>
      <c r="K1733" s="50" t="str">
        <f>"00030041"</f>
        <v>00030041</v>
      </c>
    </row>
    <row r="1734" spans="1:11" ht="45" customHeight="1">
      <c r="A1734" s="30">
        <v>105</v>
      </c>
      <c r="B1734" s="45" t="s">
        <v>2634</v>
      </c>
      <c r="C1734" s="45" t="s">
        <v>38</v>
      </c>
      <c r="D1734" s="46"/>
      <c r="E1734" s="47">
        <v>79385</v>
      </c>
      <c r="F1734" s="48">
        <v>7</v>
      </c>
      <c r="G1734" s="52" t="s">
        <v>4030</v>
      </c>
      <c r="H1734" s="30" t="s">
        <v>2635</v>
      </c>
      <c r="I1734" s="45" t="s">
        <v>92</v>
      </c>
      <c r="J1734" s="76" t="s">
        <v>2636</v>
      </c>
      <c r="K1734" s="50" t="str">
        <f>"00030042"</f>
        <v>00030042</v>
      </c>
    </row>
    <row r="1735" spans="1:11" ht="45" customHeight="1">
      <c r="A1735" s="30">
        <v>105</v>
      </c>
      <c r="B1735" s="45" t="s">
        <v>5374</v>
      </c>
      <c r="C1735" s="45" t="s">
        <v>38</v>
      </c>
      <c r="D1735" s="46"/>
      <c r="E1735" s="47">
        <v>33256</v>
      </c>
      <c r="F1735" s="48">
        <v>7</v>
      </c>
      <c r="G1735" s="55" t="s">
        <v>5376</v>
      </c>
      <c r="H1735" s="30" t="s">
        <v>5375</v>
      </c>
      <c r="I1735" s="45" t="s">
        <v>107</v>
      </c>
      <c r="J1735" s="45" t="s">
        <v>277</v>
      </c>
      <c r="K1735" s="50" t="str">
        <f>"00032835"</f>
        <v>00032835</v>
      </c>
    </row>
    <row r="1736" spans="1:11" ht="45" customHeight="1">
      <c r="A1736" s="30">
        <v>105</v>
      </c>
      <c r="B1736" s="45" t="s">
        <v>5374</v>
      </c>
      <c r="C1736" s="45" t="s">
        <v>38</v>
      </c>
      <c r="D1736" s="46"/>
      <c r="E1736" s="47">
        <f>65000-E1735</f>
        <v>31744</v>
      </c>
      <c r="F1736" s="48">
        <v>7</v>
      </c>
      <c r="G1736" s="55" t="s">
        <v>5376</v>
      </c>
      <c r="H1736" s="30" t="s">
        <v>5375</v>
      </c>
      <c r="I1736" s="45" t="s">
        <v>107</v>
      </c>
      <c r="J1736" s="45" t="s">
        <v>277</v>
      </c>
      <c r="K1736" s="63" t="s">
        <v>5378</v>
      </c>
    </row>
    <row r="1737" spans="1:11" ht="45" customHeight="1">
      <c r="A1737" s="30">
        <v>105</v>
      </c>
      <c r="B1737" s="45" t="s">
        <v>5374</v>
      </c>
      <c r="C1737" s="45" t="s">
        <v>38</v>
      </c>
      <c r="D1737" s="46"/>
      <c r="E1737" s="47">
        <v>33400</v>
      </c>
      <c r="F1737" s="48">
        <v>7</v>
      </c>
      <c r="G1737" s="52" t="s">
        <v>5377</v>
      </c>
      <c r="H1737" s="30" t="s">
        <v>5375</v>
      </c>
      <c r="I1737" s="45" t="s">
        <v>107</v>
      </c>
      <c r="J1737" s="45" t="s">
        <v>277</v>
      </c>
      <c r="K1737" s="50" t="str">
        <f>"00032835"</f>
        <v>00032835</v>
      </c>
    </row>
    <row r="1738" spans="1:11" ht="45" customHeight="1">
      <c r="A1738" s="31"/>
      <c r="B1738" s="58" t="s">
        <v>466</v>
      </c>
      <c r="C1738" s="31"/>
      <c r="D1738" s="31"/>
      <c r="E1738" s="47">
        <f>SUM(E1725:E1737)</f>
        <v>782578</v>
      </c>
      <c r="F1738" s="31"/>
      <c r="G1738" s="31"/>
      <c r="H1738" s="31"/>
      <c r="I1738" s="31"/>
      <c r="J1738" s="31"/>
      <c r="K1738" s="86"/>
    </row>
    <row r="1739" spans="1:11" ht="45" customHeight="1">
      <c r="A1739" s="31"/>
      <c r="B1739" s="60" t="s">
        <v>479</v>
      </c>
      <c r="C1739" s="31"/>
      <c r="D1739" s="31"/>
      <c r="E1739" s="110"/>
      <c r="F1739" s="31"/>
      <c r="G1739" s="31"/>
      <c r="H1739" s="31"/>
      <c r="I1739" s="31"/>
      <c r="J1739" s="31"/>
      <c r="K1739" s="86"/>
    </row>
    <row r="1740" spans="1:11" ht="45" customHeight="1">
      <c r="A1740" s="30">
        <v>105</v>
      </c>
      <c r="B1740" s="45" t="s">
        <v>495</v>
      </c>
      <c r="C1740" s="45" t="s">
        <v>38</v>
      </c>
      <c r="D1740" s="46"/>
      <c r="E1740" s="47">
        <v>153365</v>
      </c>
      <c r="F1740" s="48">
        <v>7</v>
      </c>
      <c r="G1740" s="45" t="s">
        <v>5487</v>
      </c>
      <c r="H1740" s="30" t="s">
        <v>2643</v>
      </c>
      <c r="I1740" s="49" t="s">
        <v>2644</v>
      </c>
      <c r="J1740" s="49" t="s">
        <v>2645</v>
      </c>
      <c r="K1740" s="50" t="s">
        <v>5474</v>
      </c>
    </row>
    <row r="1741" spans="1:11" ht="45" customHeight="1">
      <c r="A1741" s="30">
        <v>105</v>
      </c>
      <c r="B1741" s="45" t="s">
        <v>478</v>
      </c>
      <c r="C1741" s="45" t="s">
        <v>38</v>
      </c>
      <c r="D1741" s="46"/>
      <c r="E1741" s="47">
        <v>149826</v>
      </c>
      <c r="F1741" s="48">
        <v>7</v>
      </c>
      <c r="G1741" s="45" t="s">
        <v>5488</v>
      </c>
      <c r="H1741" s="30" t="s">
        <v>2639</v>
      </c>
      <c r="I1741" s="45" t="s">
        <v>361</v>
      </c>
      <c r="J1741" s="45" t="s">
        <v>2640</v>
      </c>
      <c r="K1741" s="50" t="s">
        <v>5475</v>
      </c>
    </row>
    <row r="1742" spans="1:11" ht="45" customHeight="1">
      <c r="A1742" s="30">
        <v>105</v>
      </c>
      <c r="B1742" s="49" t="s">
        <v>1900</v>
      </c>
      <c r="C1742" s="45" t="s">
        <v>38</v>
      </c>
      <c r="D1742" s="46"/>
      <c r="E1742" s="47">
        <v>50173</v>
      </c>
      <c r="F1742" s="48">
        <v>7</v>
      </c>
      <c r="G1742" s="45" t="s">
        <v>5489</v>
      </c>
      <c r="H1742" s="30" t="s">
        <v>2646</v>
      </c>
      <c r="I1742" s="45" t="s">
        <v>448</v>
      </c>
      <c r="J1742" s="45" t="s">
        <v>864</v>
      </c>
      <c r="K1742" s="50" t="s">
        <v>5476</v>
      </c>
    </row>
    <row r="1743" spans="1:11" ht="45" customHeight="1">
      <c r="A1743" s="30">
        <v>105</v>
      </c>
      <c r="B1743" s="45" t="s">
        <v>1899</v>
      </c>
      <c r="C1743" s="45" t="s">
        <v>38</v>
      </c>
      <c r="D1743" s="46"/>
      <c r="E1743" s="47">
        <v>88780</v>
      </c>
      <c r="F1743" s="48">
        <v>7</v>
      </c>
      <c r="G1743" s="53" t="s">
        <v>5490</v>
      </c>
      <c r="H1743" s="30" t="s">
        <v>2642</v>
      </c>
      <c r="I1743" s="45" t="s">
        <v>392</v>
      </c>
      <c r="J1743" s="45" t="s">
        <v>393</v>
      </c>
      <c r="K1743" s="50" t="s">
        <v>5477</v>
      </c>
    </row>
    <row r="1744" spans="1:11" ht="45" customHeight="1">
      <c r="A1744" s="30">
        <v>105</v>
      </c>
      <c r="B1744" s="45" t="s">
        <v>487</v>
      </c>
      <c r="C1744" s="45" t="s">
        <v>38</v>
      </c>
      <c r="D1744" s="46"/>
      <c r="E1744" s="47">
        <v>96772</v>
      </c>
      <c r="F1744" s="48">
        <v>7</v>
      </c>
      <c r="G1744" s="53" t="s">
        <v>5491</v>
      </c>
      <c r="H1744" s="30" t="s">
        <v>2060</v>
      </c>
      <c r="I1744" s="45" t="s">
        <v>100</v>
      </c>
      <c r="J1744" s="45" t="s">
        <v>2641</v>
      </c>
      <c r="K1744" s="50" t="s">
        <v>5478</v>
      </c>
    </row>
    <row r="1745" spans="1:11" ht="45" customHeight="1">
      <c r="A1745" s="30">
        <v>105</v>
      </c>
      <c r="B1745" s="45" t="s">
        <v>5469</v>
      </c>
      <c r="C1745" s="45" t="s">
        <v>38</v>
      </c>
      <c r="D1745" s="46"/>
      <c r="E1745" s="47">
        <v>174356</v>
      </c>
      <c r="F1745" s="48">
        <v>7</v>
      </c>
      <c r="G1745" s="49" t="s">
        <v>5415</v>
      </c>
      <c r="H1745" s="30" t="s">
        <v>1895</v>
      </c>
      <c r="I1745" s="45" t="s">
        <v>107</v>
      </c>
      <c r="J1745" s="52" t="s">
        <v>1896</v>
      </c>
      <c r="K1745" s="50" t="s">
        <v>5479</v>
      </c>
    </row>
    <row r="1746" spans="1:11" ht="45" customHeight="1">
      <c r="A1746" s="30">
        <v>104</v>
      </c>
      <c r="B1746" s="45" t="s">
        <v>495</v>
      </c>
      <c r="C1746" s="45" t="s">
        <v>1</v>
      </c>
      <c r="D1746" s="46"/>
      <c r="E1746" s="47">
        <v>-46084</v>
      </c>
      <c r="F1746" s="48">
        <v>7</v>
      </c>
      <c r="G1746" s="45" t="s">
        <v>5470</v>
      </c>
      <c r="H1746" s="30" t="s">
        <v>496</v>
      </c>
      <c r="I1746" s="45" t="s">
        <v>40</v>
      </c>
      <c r="J1746" s="45" t="s">
        <v>125</v>
      </c>
      <c r="K1746" s="149" t="s">
        <v>6139</v>
      </c>
    </row>
    <row r="1747" spans="1:11" ht="45" customHeight="1">
      <c r="A1747" s="30">
        <v>104</v>
      </c>
      <c r="B1747" s="45" t="s">
        <v>488</v>
      </c>
      <c r="C1747" s="45" t="s">
        <v>38</v>
      </c>
      <c r="D1747" s="46"/>
      <c r="E1747" s="47">
        <v>-7826</v>
      </c>
      <c r="F1747" s="48">
        <v>7</v>
      </c>
      <c r="G1747" s="45" t="s">
        <v>5471</v>
      </c>
      <c r="H1747" s="30" t="s">
        <v>489</v>
      </c>
      <c r="I1747" s="45" t="s">
        <v>107</v>
      </c>
      <c r="J1747" s="51" t="s">
        <v>490</v>
      </c>
      <c r="K1747" s="99" t="s">
        <v>5492</v>
      </c>
    </row>
    <row r="1748" spans="1:11" ht="45" customHeight="1">
      <c r="A1748" s="30">
        <v>104</v>
      </c>
      <c r="B1748" s="45" t="s">
        <v>492</v>
      </c>
      <c r="C1748" s="45" t="s">
        <v>38</v>
      </c>
      <c r="D1748" s="46"/>
      <c r="E1748" s="47">
        <v>1810</v>
      </c>
      <c r="F1748" s="48">
        <v>7</v>
      </c>
      <c r="G1748" s="45" t="s">
        <v>5472</v>
      </c>
      <c r="H1748" s="30" t="s">
        <v>493</v>
      </c>
      <c r="I1748" s="45" t="s">
        <v>179</v>
      </c>
      <c r="J1748" s="45" t="s">
        <v>494</v>
      </c>
      <c r="K1748" s="54" t="s">
        <v>5493</v>
      </c>
    </row>
    <row r="1749" spans="1:11" ht="45" customHeight="1">
      <c r="A1749" s="30">
        <v>105</v>
      </c>
      <c r="B1749" s="49" t="s">
        <v>1900</v>
      </c>
      <c r="C1749" s="45" t="s">
        <v>38</v>
      </c>
      <c r="D1749" s="46"/>
      <c r="E1749" s="47">
        <v>23800</v>
      </c>
      <c r="F1749" s="48">
        <v>7</v>
      </c>
      <c r="G1749" s="45" t="s">
        <v>5473</v>
      </c>
      <c r="H1749" s="30" t="s">
        <v>2646</v>
      </c>
      <c r="I1749" s="45" t="s">
        <v>448</v>
      </c>
      <c r="J1749" s="45" t="s">
        <v>864</v>
      </c>
      <c r="K1749" s="54" t="s">
        <v>6138</v>
      </c>
    </row>
    <row r="1750" spans="1:11" ht="45" customHeight="1">
      <c r="A1750" s="31"/>
      <c r="B1750" s="58" t="s">
        <v>480</v>
      </c>
      <c r="C1750" s="31"/>
      <c r="D1750" s="31"/>
      <c r="E1750" s="47">
        <f>SUM(E1740:E1749)</f>
        <v>684972</v>
      </c>
      <c r="F1750" s="31"/>
      <c r="G1750" s="31"/>
      <c r="H1750" s="31"/>
      <c r="I1750" s="31"/>
      <c r="J1750" s="31"/>
      <c r="K1750" s="90"/>
    </row>
    <row r="1751" spans="1:11" ht="45" customHeight="1">
      <c r="A1751" s="31"/>
      <c r="B1751" s="60" t="s">
        <v>498</v>
      </c>
      <c r="C1751" s="31"/>
      <c r="D1751" s="31"/>
      <c r="E1751" s="47"/>
      <c r="F1751" s="31"/>
      <c r="G1751" s="31"/>
      <c r="H1751" s="31"/>
      <c r="I1751" s="31"/>
      <c r="J1751" s="31"/>
      <c r="K1751" s="90"/>
    </row>
    <row r="1752" spans="1:11" ht="45" customHeight="1">
      <c r="A1752" s="30">
        <v>105</v>
      </c>
      <c r="B1752" s="45" t="s">
        <v>502</v>
      </c>
      <c r="C1752" s="45" t="s">
        <v>38</v>
      </c>
      <c r="D1752" s="46"/>
      <c r="E1752" s="47">
        <v>136983</v>
      </c>
      <c r="F1752" s="48">
        <v>7</v>
      </c>
      <c r="G1752" s="45" t="s">
        <v>4416</v>
      </c>
      <c r="H1752" s="30" t="s">
        <v>2647</v>
      </c>
      <c r="I1752" s="45" t="s">
        <v>345</v>
      </c>
      <c r="J1752" s="49" t="s">
        <v>2648</v>
      </c>
      <c r="K1752" s="50" t="str">
        <f>"00028226"</f>
        <v>00028226</v>
      </c>
    </row>
    <row r="1753" spans="1:11" ht="45" customHeight="1">
      <c r="A1753" s="30">
        <v>105</v>
      </c>
      <c r="B1753" s="45" t="s">
        <v>503</v>
      </c>
      <c r="C1753" s="45" t="s">
        <v>38</v>
      </c>
      <c r="D1753" s="46"/>
      <c r="E1753" s="47">
        <v>80722</v>
      </c>
      <c r="F1753" s="48">
        <v>7</v>
      </c>
      <c r="G1753" s="45" t="s">
        <v>4417</v>
      </c>
      <c r="H1753" s="30" t="s">
        <v>2649</v>
      </c>
      <c r="I1753" s="45" t="s">
        <v>2650</v>
      </c>
      <c r="J1753" s="45" t="s">
        <v>2651</v>
      </c>
      <c r="K1753" s="50" t="str">
        <f>"00029202"</f>
        <v>00029202</v>
      </c>
    </row>
    <row r="1754" spans="1:11" ht="45" customHeight="1">
      <c r="A1754" s="31"/>
      <c r="B1754" s="58" t="s">
        <v>499</v>
      </c>
      <c r="C1754" s="31"/>
      <c r="D1754" s="31"/>
      <c r="E1754" s="47">
        <f>SUM(E1752:E1753)</f>
        <v>217705</v>
      </c>
      <c r="F1754" s="31"/>
      <c r="G1754" s="31"/>
      <c r="H1754" s="31"/>
      <c r="I1754" s="31"/>
      <c r="J1754" s="31"/>
      <c r="K1754" s="90"/>
    </row>
    <row r="1755" spans="1:11" ht="45" customHeight="1">
      <c r="A1755" s="31"/>
      <c r="B1755" s="60" t="s">
        <v>515</v>
      </c>
      <c r="C1755" s="31"/>
      <c r="D1755" s="31"/>
      <c r="E1755" s="47"/>
      <c r="F1755" s="31"/>
      <c r="G1755" s="31"/>
      <c r="H1755" s="31"/>
      <c r="I1755" s="31"/>
      <c r="J1755" s="31"/>
      <c r="K1755" s="90"/>
    </row>
    <row r="1756" spans="1:11" ht="45" customHeight="1">
      <c r="A1756" s="30">
        <v>105</v>
      </c>
      <c r="B1756" s="51" t="s">
        <v>525</v>
      </c>
      <c r="C1756" s="45" t="s">
        <v>38</v>
      </c>
      <c r="D1756" s="46"/>
      <c r="E1756" s="47">
        <v>96500</v>
      </c>
      <c r="F1756" s="48">
        <v>7</v>
      </c>
      <c r="G1756" s="49" t="s">
        <v>5084</v>
      </c>
      <c r="H1756" s="30" t="s">
        <v>2673</v>
      </c>
      <c r="I1756" s="45" t="s">
        <v>158</v>
      </c>
      <c r="J1756" s="45" t="s">
        <v>510</v>
      </c>
      <c r="K1756" s="50" t="str">
        <f>"00028027"</f>
        <v>00028027</v>
      </c>
    </row>
    <row r="1757" spans="1:11" ht="45" customHeight="1">
      <c r="A1757" s="30">
        <v>105</v>
      </c>
      <c r="B1757" s="51" t="s">
        <v>2674</v>
      </c>
      <c r="C1757" s="45" t="s">
        <v>38</v>
      </c>
      <c r="D1757" s="46"/>
      <c r="E1757" s="47">
        <v>2510</v>
      </c>
      <c r="F1757" s="48">
        <v>7</v>
      </c>
      <c r="G1757" s="45" t="s">
        <v>5085</v>
      </c>
      <c r="H1757" s="30" t="s">
        <v>2675</v>
      </c>
      <c r="I1757" s="45" t="s">
        <v>177</v>
      </c>
      <c r="J1757" s="45" t="s">
        <v>497</v>
      </c>
      <c r="K1757" s="50" t="str">
        <f>"00027575"</f>
        <v>00027575</v>
      </c>
    </row>
    <row r="1758" spans="1:11" ht="45" customHeight="1">
      <c r="A1758" s="30">
        <v>105</v>
      </c>
      <c r="B1758" s="51" t="s">
        <v>525</v>
      </c>
      <c r="C1758" s="45" t="s">
        <v>38</v>
      </c>
      <c r="D1758" s="46"/>
      <c r="E1758" s="47">
        <v>23500</v>
      </c>
      <c r="F1758" s="48">
        <v>7</v>
      </c>
      <c r="G1758" s="45" t="s">
        <v>5086</v>
      </c>
      <c r="H1758" s="30" t="s">
        <v>2676</v>
      </c>
      <c r="I1758" s="51" t="s">
        <v>2677</v>
      </c>
      <c r="J1758" s="49" t="s">
        <v>2678</v>
      </c>
      <c r="K1758" s="50" t="str">
        <f>"00028891"</f>
        <v>00028891</v>
      </c>
    </row>
    <row r="1759" spans="1:11" ht="45" customHeight="1">
      <c r="A1759" s="30">
        <v>105</v>
      </c>
      <c r="B1759" s="45" t="s">
        <v>514</v>
      </c>
      <c r="C1759" s="45" t="s">
        <v>38</v>
      </c>
      <c r="D1759" s="46"/>
      <c r="E1759" s="47">
        <v>68776</v>
      </c>
      <c r="F1759" s="48">
        <v>4</v>
      </c>
      <c r="G1759" s="55" t="s">
        <v>5087</v>
      </c>
      <c r="H1759" s="30" t="s">
        <v>2672</v>
      </c>
      <c r="I1759" s="45" t="s">
        <v>92</v>
      </c>
      <c r="J1759" s="45" t="s">
        <v>355</v>
      </c>
      <c r="K1759" s="62" t="s">
        <v>5091</v>
      </c>
    </row>
    <row r="1760" spans="1:11" ht="45" customHeight="1">
      <c r="A1760" s="30">
        <v>105</v>
      </c>
      <c r="B1760" s="51" t="s">
        <v>2674</v>
      </c>
      <c r="C1760" s="45" t="s">
        <v>38</v>
      </c>
      <c r="D1760" s="46"/>
      <c r="E1760" s="47">
        <v>2510</v>
      </c>
      <c r="F1760" s="48">
        <v>7</v>
      </c>
      <c r="G1760" s="45" t="s">
        <v>5088</v>
      </c>
      <c r="H1760" s="30" t="s">
        <v>2676</v>
      </c>
      <c r="I1760" s="51" t="s">
        <v>2677</v>
      </c>
      <c r="J1760" s="49" t="s">
        <v>2678</v>
      </c>
      <c r="K1760" s="50" t="s">
        <v>5081</v>
      </c>
    </row>
    <row r="1761" spans="1:11" ht="45" customHeight="1">
      <c r="A1761" s="30">
        <v>105</v>
      </c>
      <c r="B1761" s="45" t="s">
        <v>2670</v>
      </c>
      <c r="C1761" s="45" t="s">
        <v>38</v>
      </c>
      <c r="D1761" s="46"/>
      <c r="E1761" s="47">
        <v>173739</v>
      </c>
      <c r="F1761" s="48">
        <v>7</v>
      </c>
      <c r="G1761" s="45" t="s">
        <v>6140</v>
      </c>
      <c r="H1761" s="30" t="s">
        <v>2671</v>
      </c>
      <c r="I1761" s="45" t="s">
        <v>158</v>
      </c>
      <c r="J1761" s="45" t="s">
        <v>510</v>
      </c>
      <c r="K1761" s="50" t="str">
        <f>"00032143"</f>
        <v>00032143</v>
      </c>
    </row>
    <row r="1762" spans="1:11" ht="45" customHeight="1">
      <c r="A1762" s="30">
        <v>105</v>
      </c>
      <c r="B1762" s="45" t="s">
        <v>2684</v>
      </c>
      <c r="C1762" s="45" t="s">
        <v>38</v>
      </c>
      <c r="D1762" s="46"/>
      <c r="E1762" s="47">
        <v>93211</v>
      </c>
      <c r="F1762" s="48">
        <v>7</v>
      </c>
      <c r="G1762" s="45" t="s">
        <v>5082</v>
      </c>
      <c r="H1762" s="30" t="s">
        <v>2685</v>
      </c>
      <c r="I1762" s="45" t="s">
        <v>111</v>
      </c>
      <c r="J1762" s="45" t="s">
        <v>2686</v>
      </c>
      <c r="K1762" s="50" t="str">
        <f>"00027753"</f>
        <v>00027753</v>
      </c>
    </row>
    <row r="1763" spans="1:11" ht="45" customHeight="1">
      <c r="A1763" s="30">
        <v>105</v>
      </c>
      <c r="B1763" s="51" t="s">
        <v>2682</v>
      </c>
      <c r="C1763" s="45" t="s">
        <v>38</v>
      </c>
      <c r="D1763" s="46"/>
      <c r="E1763" s="47">
        <v>79968</v>
      </c>
      <c r="F1763" s="48">
        <v>7</v>
      </c>
      <c r="G1763" s="49" t="s">
        <v>5089</v>
      </c>
      <c r="H1763" s="30" t="s">
        <v>527</v>
      </c>
      <c r="I1763" s="45" t="s">
        <v>116</v>
      </c>
      <c r="J1763" s="45" t="s">
        <v>117</v>
      </c>
      <c r="K1763" s="50" t="str">
        <f>"00025911"</f>
        <v>00025911</v>
      </c>
    </row>
    <row r="1764" spans="1:11" ht="45" customHeight="1">
      <c r="A1764" s="30">
        <v>105</v>
      </c>
      <c r="B1764" s="51" t="s">
        <v>2683</v>
      </c>
      <c r="C1764" s="45" t="s">
        <v>38</v>
      </c>
      <c r="D1764" s="46"/>
      <c r="E1764" s="47">
        <v>79625</v>
      </c>
      <c r="F1764" s="48">
        <v>7</v>
      </c>
      <c r="G1764" s="45" t="s">
        <v>6141</v>
      </c>
      <c r="H1764" s="30" t="s">
        <v>1988</v>
      </c>
      <c r="I1764" s="45" t="s">
        <v>1989</v>
      </c>
      <c r="J1764" s="49" t="s">
        <v>1990</v>
      </c>
      <c r="K1764" s="63" t="s">
        <v>5092</v>
      </c>
    </row>
    <row r="1765" spans="1:11" ht="45" customHeight="1">
      <c r="A1765" s="30">
        <v>105</v>
      </c>
      <c r="B1765" s="45" t="s">
        <v>2679</v>
      </c>
      <c r="C1765" s="45" t="s">
        <v>38</v>
      </c>
      <c r="D1765" s="46"/>
      <c r="E1765" s="47">
        <v>116267</v>
      </c>
      <c r="F1765" s="48">
        <v>7</v>
      </c>
      <c r="G1765" s="49" t="s">
        <v>5090</v>
      </c>
      <c r="H1765" s="30" t="s">
        <v>2680</v>
      </c>
      <c r="I1765" s="45" t="s">
        <v>111</v>
      </c>
      <c r="J1765" s="45" t="s">
        <v>2681</v>
      </c>
      <c r="K1765" s="50" t="str">
        <f>"00022424"</f>
        <v>00022424</v>
      </c>
    </row>
    <row r="1766" spans="1:11" ht="45" customHeight="1">
      <c r="A1766" s="30">
        <v>105</v>
      </c>
      <c r="B1766" s="45" t="s">
        <v>5083</v>
      </c>
      <c r="C1766" s="45" t="s">
        <v>38</v>
      </c>
      <c r="D1766" s="46"/>
      <c r="E1766" s="47">
        <v>61136</v>
      </c>
      <c r="F1766" s="48">
        <v>7</v>
      </c>
      <c r="G1766" s="49" t="s">
        <v>5084</v>
      </c>
      <c r="H1766" s="30" t="s">
        <v>2673</v>
      </c>
      <c r="I1766" s="45" t="s">
        <v>158</v>
      </c>
      <c r="J1766" s="45" t="s">
        <v>510</v>
      </c>
      <c r="K1766" s="50" t="str">
        <f>"00028027"</f>
        <v>00028027</v>
      </c>
    </row>
    <row r="1767" spans="1:11" ht="45" customHeight="1">
      <c r="A1767" s="31"/>
      <c r="B1767" s="58" t="s">
        <v>516</v>
      </c>
      <c r="C1767" s="31"/>
      <c r="D1767" s="31"/>
      <c r="E1767" s="47">
        <f>SUM(E1756:E1766)</f>
        <v>797742</v>
      </c>
      <c r="F1767" s="31"/>
      <c r="G1767" s="31"/>
      <c r="H1767" s="31"/>
      <c r="I1767" s="31"/>
      <c r="J1767" s="31"/>
      <c r="K1767" s="31"/>
    </row>
    <row r="1768" spans="1:11" ht="45" customHeight="1">
      <c r="A1768" s="31"/>
      <c r="B1768" s="60" t="s">
        <v>528</v>
      </c>
      <c r="C1768" s="31"/>
      <c r="D1768" s="31"/>
      <c r="E1768" s="47"/>
      <c r="F1768" s="31"/>
      <c r="G1768" s="31"/>
      <c r="H1768" s="31"/>
      <c r="I1768" s="31"/>
      <c r="J1768" s="31"/>
      <c r="K1768" s="31"/>
    </row>
    <row r="1769" spans="1:11" ht="45" customHeight="1">
      <c r="A1769" s="30">
        <v>105</v>
      </c>
      <c r="B1769" s="45" t="s">
        <v>4498</v>
      </c>
      <c r="C1769" s="45" t="s">
        <v>4499</v>
      </c>
      <c r="D1769" s="46"/>
      <c r="E1769" s="47">
        <v>34746</v>
      </c>
      <c r="F1769" s="48">
        <v>7</v>
      </c>
      <c r="G1769" s="45" t="s">
        <v>4500</v>
      </c>
      <c r="H1769" s="30" t="s">
        <v>2687</v>
      </c>
      <c r="I1769" s="45" t="s">
        <v>4448</v>
      </c>
      <c r="J1769" s="45" t="s">
        <v>4501</v>
      </c>
      <c r="K1769" s="50" t="str">
        <f>"00029721"</f>
        <v>00029721</v>
      </c>
    </row>
    <row r="1770" spans="1:11" ht="45" customHeight="1">
      <c r="A1770" s="30">
        <v>105</v>
      </c>
      <c r="B1770" s="45" t="s">
        <v>4502</v>
      </c>
      <c r="C1770" s="45" t="s">
        <v>4499</v>
      </c>
      <c r="D1770" s="46"/>
      <c r="E1770" s="47">
        <v>63607</v>
      </c>
      <c r="F1770" s="48">
        <v>7</v>
      </c>
      <c r="G1770" s="51" t="s">
        <v>4506</v>
      </c>
      <c r="H1770" s="30" t="s">
        <v>2688</v>
      </c>
      <c r="I1770" s="45" t="s">
        <v>4503</v>
      </c>
      <c r="J1770" s="51" t="s">
        <v>4507</v>
      </c>
      <c r="K1770" s="50" t="str">
        <f>"00028501"</f>
        <v>00028501</v>
      </c>
    </row>
    <row r="1771" spans="1:11" ht="45" customHeight="1">
      <c r="A1771" s="30">
        <v>105</v>
      </c>
      <c r="B1771" s="45" t="s">
        <v>4504</v>
      </c>
      <c r="C1771" s="45" t="s">
        <v>4499</v>
      </c>
      <c r="D1771" s="46"/>
      <c r="E1771" s="47">
        <v>66570</v>
      </c>
      <c r="F1771" s="48">
        <v>7</v>
      </c>
      <c r="G1771" s="45" t="s">
        <v>4508</v>
      </c>
      <c r="H1771" s="30" t="s">
        <v>2689</v>
      </c>
      <c r="I1771" s="45" t="s">
        <v>4455</v>
      </c>
      <c r="J1771" s="45" t="s">
        <v>4505</v>
      </c>
      <c r="K1771" s="50" t="str">
        <f>"00029540"</f>
        <v>00029540</v>
      </c>
    </row>
    <row r="1772" spans="1:11" ht="45" customHeight="1">
      <c r="A1772" s="34"/>
      <c r="B1772" s="58" t="s">
        <v>530</v>
      </c>
      <c r="C1772" s="34"/>
      <c r="D1772" s="34"/>
      <c r="E1772" s="47">
        <f>SUM(E1769:E1771)</f>
        <v>164923</v>
      </c>
      <c r="F1772" s="34"/>
      <c r="G1772" s="34"/>
      <c r="H1772" s="34"/>
      <c r="I1772" s="34"/>
      <c r="J1772" s="34"/>
      <c r="K1772" s="34"/>
    </row>
    <row r="1773" spans="1:11" ht="45" customHeight="1">
      <c r="A1773" s="34"/>
      <c r="B1773" s="60" t="s">
        <v>550</v>
      </c>
      <c r="C1773" s="34"/>
      <c r="D1773" s="34"/>
      <c r="E1773" s="47"/>
      <c r="F1773" s="34"/>
      <c r="G1773" s="34"/>
      <c r="H1773" s="34"/>
      <c r="I1773" s="34"/>
      <c r="J1773" s="34"/>
      <c r="K1773" s="34"/>
    </row>
    <row r="1774" spans="1:11" ht="45" customHeight="1">
      <c r="A1774" s="30">
        <v>105</v>
      </c>
      <c r="B1774" s="51" t="s">
        <v>531</v>
      </c>
      <c r="C1774" s="45" t="s">
        <v>38</v>
      </c>
      <c r="D1774" s="46"/>
      <c r="E1774" s="47">
        <v>96764</v>
      </c>
      <c r="F1774" s="48">
        <v>7</v>
      </c>
      <c r="G1774" s="55" t="s">
        <v>4636</v>
      </c>
      <c r="H1774" s="30" t="s">
        <v>2472</v>
      </c>
      <c r="I1774" s="45" t="s">
        <v>92</v>
      </c>
      <c r="J1774" s="45" t="s">
        <v>2473</v>
      </c>
      <c r="K1774" s="50" t="str">
        <f>"00031680"</f>
        <v>00031680</v>
      </c>
    </row>
    <row r="1775" spans="1:11" ht="45" customHeight="1">
      <c r="A1775" s="30">
        <v>105</v>
      </c>
      <c r="B1775" s="51" t="s">
        <v>531</v>
      </c>
      <c r="C1775" s="45" t="s">
        <v>38</v>
      </c>
      <c r="D1775" s="46"/>
      <c r="E1775" s="47">
        <v>65137</v>
      </c>
      <c r="F1775" s="48">
        <v>7</v>
      </c>
      <c r="G1775" s="55" t="s">
        <v>4534</v>
      </c>
      <c r="H1775" s="30" t="s">
        <v>1816</v>
      </c>
      <c r="I1775" s="49" t="s">
        <v>1814</v>
      </c>
      <c r="J1775" s="49" t="s">
        <v>1817</v>
      </c>
      <c r="K1775" s="50" t="str">
        <f>"00028396"</f>
        <v>00028396</v>
      </c>
    </row>
    <row r="1776" spans="1:11" ht="45" customHeight="1">
      <c r="A1776" s="30">
        <v>105</v>
      </c>
      <c r="B1776" s="51" t="s">
        <v>531</v>
      </c>
      <c r="C1776" s="45" t="s">
        <v>38</v>
      </c>
      <c r="D1776" s="46"/>
      <c r="E1776" s="47">
        <v>226177</v>
      </c>
      <c r="F1776" s="48">
        <v>7</v>
      </c>
      <c r="G1776" s="55" t="s">
        <v>4637</v>
      </c>
      <c r="H1776" s="30" t="s">
        <v>2475</v>
      </c>
      <c r="I1776" s="45" t="s">
        <v>107</v>
      </c>
      <c r="J1776" s="45" t="s">
        <v>336</v>
      </c>
      <c r="K1776" s="50" t="str">
        <f>"00026715"</f>
        <v>00026715</v>
      </c>
    </row>
    <row r="1777" spans="1:11" ht="45" customHeight="1">
      <c r="A1777" s="30">
        <v>105</v>
      </c>
      <c r="B1777" s="51" t="s">
        <v>531</v>
      </c>
      <c r="C1777" s="45" t="s">
        <v>38</v>
      </c>
      <c r="D1777" s="46"/>
      <c r="E1777" s="47">
        <v>64465</v>
      </c>
      <c r="F1777" s="48">
        <v>7</v>
      </c>
      <c r="G1777" s="45" t="s">
        <v>4539</v>
      </c>
      <c r="H1777" s="30" t="s">
        <v>1813</v>
      </c>
      <c r="I1777" s="49" t="s">
        <v>1814</v>
      </c>
      <c r="J1777" s="49" t="s">
        <v>1815</v>
      </c>
      <c r="K1777" s="50" t="str">
        <f>"00028398"</f>
        <v>00028398</v>
      </c>
    </row>
    <row r="1778" spans="1:11" ht="45" customHeight="1">
      <c r="A1778" s="30">
        <v>105</v>
      </c>
      <c r="B1778" s="51" t="s">
        <v>531</v>
      </c>
      <c r="C1778" s="45" t="s">
        <v>38</v>
      </c>
      <c r="D1778" s="46"/>
      <c r="E1778" s="47">
        <v>175939</v>
      </c>
      <c r="F1778" s="48">
        <v>7</v>
      </c>
      <c r="G1778" s="51" t="s">
        <v>4638</v>
      </c>
      <c r="H1778" s="30" t="s">
        <v>2470</v>
      </c>
      <c r="I1778" s="45" t="s">
        <v>92</v>
      </c>
      <c r="J1778" s="45" t="s">
        <v>2471</v>
      </c>
      <c r="K1778" s="50" t="str">
        <f>"00030832"</f>
        <v>00030832</v>
      </c>
    </row>
    <row r="1779" spans="1:11" ht="45" customHeight="1">
      <c r="A1779" s="30">
        <v>105</v>
      </c>
      <c r="B1779" s="45" t="s">
        <v>2474</v>
      </c>
      <c r="C1779" s="45" t="s">
        <v>38</v>
      </c>
      <c r="D1779" s="46"/>
      <c r="E1779" s="47">
        <v>73223</v>
      </c>
      <c r="F1779" s="48">
        <v>7</v>
      </c>
      <c r="G1779" s="49" t="s">
        <v>4639</v>
      </c>
      <c r="H1779" s="30" t="s">
        <v>992</v>
      </c>
      <c r="I1779" s="45" t="s">
        <v>107</v>
      </c>
      <c r="J1779" s="45" t="s">
        <v>302</v>
      </c>
      <c r="K1779" s="50" t="str">
        <f>"00030665"</f>
        <v>00030665</v>
      </c>
    </row>
    <row r="1780" spans="1:11" ht="45" customHeight="1">
      <c r="A1780" s="30">
        <v>105</v>
      </c>
      <c r="B1780" s="51" t="s">
        <v>531</v>
      </c>
      <c r="C1780" s="45" t="s">
        <v>38</v>
      </c>
      <c r="D1780" s="46"/>
      <c r="E1780" s="47">
        <v>101317</v>
      </c>
      <c r="F1780" s="48">
        <v>7</v>
      </c>
      <c r="G1780" s="55" t="s">
        <v>4584</v>
      </c>
      <c r="H1780" s="30" t="s">
        <v>1805</v>
      </c>
      <c r="I1780" s="45" t="s">
        <v>107</v>
      </c>
      <c r="J1780" s="45" t="s">
        <v>1806</v>
      </c>
      <c r="K1780" s="50" t="str">
        <f>"00029310"</f>
        <v>00029310</v>
      </c>
    </row>
    <row r="1781" spans="1:11" ht="45" customHeight="1">
      <c r="A1781" s="30">
        <v>105</v>
      </c>
      <c r="B1781" s="45" t="s">
        <v>1818</v>
      </c>
      <c r="C1781" s="45" t="s">
        <v>38</v>
      </c>
      <c r="D1781" s="46"/>
      <c r="E1781" s="47">
        <v>256808</v>
      </c>
      <c r="F1781" s="48">
        <v>7</v>
      </c>
      <c r="G1781" s="51" t="s">
        <v>4640</v>
      </c>
      <c r="H1781" s="30" t="s">
        <v>1819</v>
      </c>
      <c r="I1781" s="45" t="s">
        <v>107</v>
      </c>
      <c r="J1781" s="45" t="s">
        <v>549</v>
      </c>
      <c r="K1781" s="63" t="s">
        <v>4641</v>
      </c>
    </row>
    <row r="1782" spans="1:11" ht="45" customHeight="1">
      <c r="A1782" s="31"/>
      <c r="B1782" s="58" t="s">
        <v>535</v>
      </c>
      <c r="C1782" s="31"/>
      <c r="D1782" s="31"/>
      <c r="E1782" s="47">
        <f>SUM(E1774:E1781)</f>
        <v>1059830</v>
      </c>
      <c r="F1782" s="31"/>
      <c r="G1782" s="31"/>
      <c r="H1782" s="31"/>
      <c r="I1782" s="31"/>
      <c r="J1782" s="31"/>
      <c r="K1782" s="86"/>
    </row>
    <row r="1783" spans="1:11" ht="45" customHeight="1">
      <c r="A1783" s="31"/>
      <c r="B1783" s="60" t="s">
        <v>564</v>
      </c>
      <c r="C1783" s="31"/>
      <c r="D1783" s="31"/>
      <c r="E1783" s="47"/>
      <c r="F1783" s="31"/>
      <c r="G1783" s="31"/>
      <c r="H1783" s="31"/>
      <c r="I1783" s="31"/>
      <c r="J1783" s="31"/>
      <c r="K1783" s="86"/>
    </row>
    <row r="1784" spans="1:11" ht="45" customHeight="1">
      <c r="A1784" s="30">
        <v>105</v>
      </c>
      <c r="B1784" s="51" t="s">
        <v>562</v>
      </c>
      <c r="C1784" s="45" t="s">
        <v>38</v>
      </c>
      <c r="D1784" s="46"/>
      <c r="E1784" s="47">
        <v>52926</v>
      </c>
      <c r="F1784" s="48">
        <v>7</v>
      </c>
      <c r="G1784" s="45" t="s">
        <v>4901</v>
      </c>
      <c r="H1784" s="30" t="s">
        <v>2482</v>
      </c>
      <c r="I1784" s="45" t="s">
        <v>92</v>
      </c>
      <c r="J1784" s="45" t="s">
        <v>167</v>
      </c>
      <c r="K1784" s="61" t="s">
        <v>4911</v>
      </c>
    </row>
    <row r="1785" spans="1:11" ht="45" customHeight="1">
      <c r="A1785" s="30">
        <v>105</v>
      </c>
      <c r="B1785" s="76" t="s">
        <v>551</v>
      </c>
      <c r="C1785" s="45" t="s">
        <v>38</v>
      </c>
      <c r="D1785" s="46"/>
      <c r="E1785" s="47">
        <v>148596</v>
      </c>
      <c r="F1785" s="48">
        <v>7</v>
      </c>
      <c r="G1785" s="45" t="s">
        <v>4902</v>
      </c>
      <c r="H1785" s="30" t="s">
        <v>2480</v>
      </c>
      <c r="I1785" s="45" t="s">
        <v>266</v>
      </c>
      <c r="J1785" s="49" t="s">
        <v>2481</v>
      </c>
      <c r="K1785" s="61" t="s">
        <v>4912</v>
      </c>
    </row>
    <row r="1786" spans="1:11" ht="45" customHeight="1">
      <c r="A1786" s="30">
        <v>105</v>
      </c>
      <c r="B1786" s="76" t="s">
        <v>552</v>
      </c>
      <c r="C1786" s="45" t="s">
        <v>38</v>
      </c>
      <c r="D1786" s="46"/>
      <c r="E1786" s="47">
        <v>57088</v>
      </c>
      <c r="F1786" s="48">
        <v>7</v>
      </c>
      <c r="G1786" s="45" t="s">
        <v>4903</v>
      </c>
      <c r="H1786" s="30" t="s">
        <v>2483</v>
      </c>
      <c r="I1786" s="45" t="s">
        <v>92</v>
      </c>
      <c r="J1786" s="45" t="s">
        <v>167</v>
      </c>
      <c r="K1786" s="50" t="str">
        <f>"00029490"</f>
        <v>00029490</v>
      </c>
    </row>
    <row r="1787" spans="1:11" ht="45" customHeight="1">
      <c r="A1787" s="30">
        <v>105</v>
      </c>
      <c r="B1787" s="51" t="s">
        <v>2484</v>
      </c>
      <c r="C1787" s="45" t="s">
        <v>38</v>
      </c>
      <c r="D1787" s="46"/>
      <c r="E1787" s="47">
        <v>98340</v>
      </c>
      <c r="F1787" s="48">
        <v>7</v>
      </c>
      <c r="G1787" s="45" t="s">
        <v>4904</v>
      </c>
      <c r="H1787" s="30" t="s">
        <v>2485</v>
      </c>
      <c r="I1787" s="45" t="s">
        <v>158</v>
      </c>
      <c r="J1787" s="45" t="s">
        <v>2486</v>
      </c>
      <c r="K1787" s="50" t="str">
        <f>"00030118"</f>
        <v>00030118</v>
      </c>
    </row>
    <row r="1788" spans="1:11" ht="45" customHeight="1">
      <c r="A1788" s="30">
        <v>105</v>
      </c>
      <c r="B1788" s="45" t="s">
        <v>2476</v>
      </c>
      <c r="C1788" s="45" t="s">
        <v>38</v>
      </c>
      <c r="D1788" s="46"/>
      <c r="E1788" s="47">
        <v>72666</v>
      </c>
      <c r="F1788" s="48">
        <v>7</v>
      </c>
      <c r="G1788" s="51" t="s">
        <v>4905</v>
      </c>
      <c r="H1788" s="30" t="s">
        <v>2477</v>
      </c>
      <c r="I1788" s="45" t="s">
        <v>107</v>
      </c>
      <c r="J1788" s="53" t="s">
        <v>2478</v>
      </c>
      <c r="K1788" s="61" t="s">
        <v>4913</v>
      </c>
    </row>
    <row r="1789" spans="1:11" ht="45" customHeight="1">
      <c r="A1789" s="30">
        <v>105</v>
      </c>
      <c r="B1789" s="51" t="s">
        <v>2484</v>
      </c>
      <c r="C1789" s="45" t="s">
        <v>38</v>
      </c>
      <c r="D1789" s="46"/>
      <c r="E1789" s="47">
        <v>98033</v>
      </c>
      <c r="F1789" s="48">
        <v>7</v>
      </c>
      <c r="G1789" s="45" t="s">
        <v>4906</v>
      </c>
      <c r="H1789" s="30" t="s">
        <v>2485</v>
      </c>
      <c r="I1789" s="45" t="s">
        <v>158</v>
      </c>
      <c r="J1789" s="45" t="s">
        <v>2486</v>
      </c>
      <c r="K1789" s="50" t="str">
        <f>"00030120"</f>
        <v>00030120</v>
      </c>
    </row>
    <row r="1790" spans="1:11" ht="45" customHeight="1">
      <c r="A1790" s="30">
        <v>105</v>
      </c>
      <c r="B1790" s="45" t="s">
        <v>1822</v>
      </c>
      <c r="C1790" s="45" t="s">
        <v>38</v>
      </c>
      <c r="D1790" s="46"/>
      <c r="E1790" s="47">
        <v>120526</v>
      </c>
      <c r="F1790" s="48">
        <v>7</v>
      </c>
      <c r="G1790" s="49" t="s">
        <v>4907</v>
      </c>
      <c r="H1790" s="30" t="s">
        <v>4899</v>
      </c>
      <c r="I1790" s="45" t="s">
        <v>152</v>
      </c>
      <c r="J1790" s="49" t="s">
        <v>4900</v>
      </c>
      <c r="K1790" s="61" t="s">
        <v>4914</v>
      </c>
    </row>
    <row r="1791" spans="1:11" ht="45" customHeight="1">
      <c r="A1791" s="30">
        <v>105</v>
      </c>
      <c r="B1791" s="76" t="s">
        <v>551</v>
      </c>
      <c r="C1791" s="45" t="s">
        <v>38</v>
      </c>
      <c r="D1791" s="46"/>
      <c r="E1791" s="47">
        <v>25595</v>
      </c>
      <c r="F1791" s="48">
        <v>7</v>
      </c>
      <c r="G1791" s="45" t="s">
        <v>4908</v>
      </c>
      <c r="H1791" s="30" t="s">
        <v>1690</v>
      </c>
      <c r="I1791" s="45" t="s">
        <v>158</v>
      </c>
      <c r="J1791" s="45" t="s">
        <v>2487</v>
      </c>
      <c r="K1791" s="50" t="str">
        <f>"00030674"</f>
        <v>00030674</v>
      </c>
    </row>
    <row r="1792" spans="1:11" ht="45" customHeight="1">
      <c r="A1792" s="30">
        <v>105</v>
      </c>
      <c r="B1792" s="76" t="s">
        <v>2479</v>
      </c>
      <c r="C1792" s="45" t="s">
        <v>38</v>
      </c>
      <c r="D1792" s="46"/>
      <c r="E1792" s="47">
        <v>108281</v>
      </c>
      <c r="F1792" s="48">
        <v>7</v>
      </c>
      <c r="G1792" s="45" t="s">
        <v>4909</v>
      </c>
      <c r="H1792" s="30" t="s">
        <v>1520</v>
      </c>
      <c r="I1792" s="45" t="s">
        <v>116</v>
      </c>
      <c r="J1792" s="45" t="s">
        <v>117</v>
      </c>
      <c r="K1792" s="50" t="str">
        <f>"00031547"</f>
        <v>00031547</v>
      </c>
    </row>
    <row r="1793" spans="1:11" ht="45" customHeight="1">
      <c r="A1793" s="30">
        <v>105</v>
      </c>
      <c r="B1793" s="45" t="s">
        <v>2488</v>
      </c>
      <c r="C1793" s="45" t="s">
        <v>38</v>
      </c>
      <c r="D1793" s="46"/>
      <c r="E1793" s="47">
        <v>66601</v>
      </c>
      <c r="F1793" s="48">
        <v>7</v>
      </c>
      <c r="G1793" s="76" t="s">
        <v>4910</v>
      </c>
      <c r="H1793" s="30" t="s">
        <v>1738</v>
      </c>
      <c r="I1793" s="45" t="s">
        <v>92</v>
      </c>
      <c r="J1793" s="45" t="s">
        <v>110</v>
      </c>
      <c r="K1793" s="61" t="s">
        <v>4915</v>
      </c>
    </row>
    <row r="1794" spans="1:11" ht="45" customHeight="1">
      <c r="A1794" s="30">
        <v>105</v>
      </c>
      <c r="B1794" s="45" t="s">
        <v>2488</v>
      </c>
      <c r="C1794" s="45" t="s">
        <v>38</v>
      </c>
      <c r="D1794" s="46"/>
      <c r="E1794" s="47">
        <v>66601</v>
      </c>
      <c r="F1794" s="48">
        <v>7</v>
      </c>
      <c r="G1794" s="76" t="s">
        <v>4910</v>
      </c>
      <c r="H1794" s="30" t="s">
        <v>1738</v>
      </c>
      <c r="I1794" s="45" t="s">
        <v>92</v>
      </c>
      <c r="J1794" s="45" t="s">
        <v>110</v>
      </c>
      <c r="K1794" s="61" t="s">
        <v>4916</v>
      </c>
    </row>
    <row r="1795" spans="1:11" ht="45" customHeight="1">
      <c r="A1795" s="30">
        <v>104</v>
      </c>
      <c r="B1795" s="76" t="s">
        <v>552</v>
      </c>
      <c r="C1795" s="45" t="s">
        <v>1</v>
      </c>
      <c r="D1795" s="46"/>
      <c r="E1795" s="47">
        <v>-5760</v>
      </c>
      <c r="F1795" s="48">
        <v>7</v>
      </c>
      <c r="G1795" s="45" t="s">
        <v>565</v>
      </c>
      <c r="H1795" s="30" t="s">
        <v>553</v>
      </c>
      <c r="I1795" s="45" t="s">
        <v>40</v>
      </c>
      <c r="J1795" s="51" t="s">
        <v>554</v>
      </c>
      <c r="K1795" s="61" t="s">
        <v>4917</v>
      </c>
    </row>
    <row r="1796" spans="1:11" ht="45" customHeight="1">
      <c r="A1796" s="31"/>
      <c r="B1796" s="58" t="s">
        <v>563</v>
      </c>
      <c r="C1796" s="31"/>
      <c r="D1796" s="31"/>
      <c r="E1796" s="47">
        <f>SUM(E1784:E1795)</f>
        <v>909493</v>
      </c>
      <c r="F1796" s="31"/>
      <c r="G1796" s="31"/>
      <c r="H1796" s="31"/>
      <c r="I1796" s="31"/>
      <c r="J1796" s="31"/>
      <c r="K1796" s="111"/>
    </row>
    <row r="1797" spans="1:11" ht="45" customHeight="1">
      <c r="A1797" s="31"/>
      <c r="B1797" s="60" t="s">
        <v>593</v>
      </c>
      <c r="C1797" s="31"/>
      <c r="D1797" s="31"/>
      <c r="E1797" s="47"/>
      <c r="F1797" s="31"/>
      <c r="G1797" s="31"/>
      <c r="H1797" s="31"/>
      <c r="I1797" s="31"/>
      <c r="J1797" s="31"/>
      <c r="K1797" s="111"/>
    </row>
    <row r="1798" spans="1:11" ht="45" customHeight="1">
      <c r="A1798" s="30">
        <v>105</v>
      </c>
      <c r="B1798" s="45" t="s">
        <v>2692</v>
      </c>
      <c r="C1798" s="45" t="s">
        <v>38</v>
      </c>
      <c r="D1798" s="46"/>
      <c r="E1798" s="47">
        <v>41039</v>
      </c>
      <c r="F1798" s="48">
        <v>7</v>
      </c>
      <c r="G1798" s="45" t="s">
        <v>4793</v>
      </c>
      <c r="H1798" s="30" t="s">
        <v>2694</v>
      </c>
      <c r="I1798" s="45" t="s">
        <v>92</v>
      </c>
      <c r="J1798" s="45" t="s">
        <v>595</v>
      </c>
      <c r="K1798" s="149" t="s">
        <v>6142</v>
      </c>
    </row>
    <row r="1799" spans="1:11" ht="45" customHeight="1">
      <c r="A1799" s="30">
        <v>105</v>
      </c>
      <c r="B1799" s="45" t="s">
        <v>2692</v>
      </c>
      <c r="C1799" s="45" t="s">
        <v>38</v>
      </c>
      <c r="D1799" s="46"/>
      <c r="E1799" s="47">
        <v>41039</v>
      </c>
      <c r="F1799" s="48">
        <v>7</v>
      </c>
      <c r="G1799" s="45" t="s">
        <v>4794</v>
      </c>
      <c r="H1799" s="30" t="s">
        <v>2694</v>
      </c>
      <c r="I1799" s="45" t="s">
        <v>92</v>
      </c>
      <c r="J1799" s="45" t="s">
        <v>595</v>
      </c>
      <c r="K1799" s="50" t="s">
        <v>4791</v>
      </c>
    </row>
    <row r="1800" spans="1:11" ht="45" customHeight="1">
      <c r="A1800" s="30">
        <v>105</v>
      </c>
      <c r="B1800" s="45" t="s">
        <v>2695</v>
      </c>
      <c r="C1800" s="45" t="s">
        <v>38</v>
      </c>
      <c r="D1800" s="46"/>
      <c r="E1800" s="47">
        <v>116895</v>
      </c>
      <c r="F1800" s="48">
        <v>7</v>
      </c>
      <c r="G1800" s="45" t="s">
        <v>4795</v>
      </c>
      <c r="H1800" s="30" t="s">
        <v>2696</v>
      </c>
      <c r="I1800" s="45" t="s">
        <v>107</v>
      </c>
      <c r="J1800" s="45" t="s">
        <v>108</v>
      </c>
      <c r="K1800" s="62" t="s">
        <v>4804</v>
      </c>
    </row>
    <row r="1801" spans="1:11" ht="45" customHeight="1">
      <c r="A1801" s="30">
        <v>105</v>
      </c>
      <c r="B1801" s="45" t="s">
        <v>2010</v>
      </c>
      <c r="C1801" s="45" t="s">
        <v>38</v>
      </c>
      <c r="D1801" s="46"/>
      <c r="E1801" s="47">
        <v>171739</v>
      </c>
      <c r="F1801" s="48">
        <v>7</v>
      </c>
      <c r="G1801" s="49" t="s">
        <v>4796</v>
      </c>
      <c r="H1801" s="30" t="s">
        <v>1100</v>
      </c>
      <c r="I1801" s="45" t="s">
        <v>107</v>
      </c>
      <c r="J1801" s="45" t="s">
        <v>124</v>
      </c>
      <c r="K1801" s="62" t="s">
        <v>4805</v>
      </c>
    </row>
    <row r="1802" spans="1:11" ht="45" customHeight="1">
      <c r="A1802" s="30">
        <v>105</v>
      </c>
      <c r="B1802" s="51" t="s">
        <v>2691</v>
      </c>
      <c r="C1802" s="45" t="s">
        <v>38</v>
      </c>
      <c r="D1802" s="46"/>
      <c r="E1802" s="47">
        <v>164009</v>
      </c>
      <c r="F1802" s="48">
        <v>7</v>
      </c>
      <c r="G1802" s="49" t="s">
        <v>4797</v>
      </c>
      <c r="H1802" s="30" t="s">
        <v>1374</v>
      </c>
      <c r="I1802" s="45" t="s">
        <v>107</v>
      </c>
      <c r="J1802" s="45" t="s">
        <v>108</v>
      </c>
      <c r="K1802" s="62" t="s">
        <v>4806</v>
      </c>
    </row>
    <row r="1803" spans="1:11" ht="45" customHeight="1">
      <c r="A1803" s="30">
        <v>105</v>
      </c>
      <c r="B1803" s="45" t="s">
        <v>2692</v>
      </c>
      <c r="C1803" s="45" t="s">
        <v>38</v>
      </c>
      <c r="D1803" s="46"/>
      <c r="E1803" s="47">
        <v>28043</v>
      </c>
      <c r="F1803" s="48">
        <v>7</v>
      </c>
      <c r="G1803" s="45" t="s">
        <v>4798</v>
      </c>
      <c r="H1803" s="30" t="s">
        <v>2693</v>
      </c>
      <c r="I1803" s="45" t="s">
        <v>92</v>
      </c>
      <c r="J1803" s="45" t="s">
        <v>595</v>
      </c>
      <c r="K1803" s="50" t="s">
        <v>4792</v>
      </c>
    </row>
    <row r="1804" spans="1:11" ht="45" customHeight="1">
      <c r="A1804" s="30">
        <v>105</v>
      </c>
      <c r="B1804" s="51" t="s">
        <v>2691</v>
      </c>
      <c r="C1804" s="45" t="s">
        <v>38</v>
      </c>
      <c r="D1804" s="46"/>
      <c r="E1804" s="47">
        <v>111014</v>
      </c>
      <c r="F1804" s="48">
        <v>7</v>
      </c>
      <c r="G1804" s="55" t="s">
        <v>4799</v>
      </c>
      <c r="H1804" s="30" t="s">
        <v>1374</v>
      </c>
      <c r="I1804" s="45" t="s">
        <v>107</v>
      </c>
      <c r="J1804" s="45" t="s">
        <v>108</v>
      </c>
      <c r="K1804" s="62" t="s">
        <v>4807</v>
      </c>
    </row>
    <row r="1805" spans="1:11" ht="45" customHeight="1">
      <c r="A1805" s="30">
        <v>105</v>
      </c>
      <c r="B1805" s="49" t="s">
        <v>2697</v>
      </c>
      <c r="C1805" s="45" t="s">
        <v>38</v>
      </c>
      <c r="D1805" s="46"/>
      <c r="E1805" s="47">
        <v>267524</v>
      </c>
      <c r="F1805" s="48">
        <v>7</v>
      </c>
      <c r="G1805" s="45" t="s">
        <v>4800</v>
      </c>
      <c r="H1805" s="30" t="s">
        <v>2698</v>
      </c>
      <c r="I1805" s="45" t="s">
        <v>107</v>
      </c>
      <c r="J1805" s="52" t="s">
        <v>2699</v>
      </c>
      <c r="K1805" s="50" t="str">
        <f>"00030268"</f>
        <v>00030268</v>
      </c>
    </row>
    <row r="1806" spans="1:11" ht="45" customHeight="1">
      <c r="A1806" s="30">
        <v>105</v>
      </c>
      <c r="B1806" s="45" t="s">
        <v>2011</v>
      </c>
      <c r="C1806" s="45" t="s">
        <v>38</v>
      </c>
      <c r="D1806" s="46"/>
      <c r="E1806" s="47">
        <v>11020</v>
      </c>
      <c r="F1806" s="48">
        <v>7</v>
      </c>
      <c r="G1806" s="45" t="s">
        <v>4798</v>
      </c>
      <c r="H1806" s="30" t="s">
        <v>978</v>
      </c>
      <c r="I1806" s="45" t="s">
        <v>92</v>
      </c>
      <c r="J1806" s="45" t="s">
        <v>2690</v>
      </c>
      <c r="K1806" s="50" t="str">
        <f>"00031459"</f>
        <v>00031459</v>
      </c>
    </row>
    <row r="1807" spans="1:11" ht="45" customHeight="1">
      <c r="A1807" s="30">
        <v>105</v>
      </c>
      <c r="B1807" s="51" t="s">
        <v>591</v>
      </c>
      <c r="C1807" s="45" t="s">
        <v>38</v>
      </c>
      <c r="D1807" s="46"/>
      <c r="E1807" s="47">
        <v>92000</v>
      </c>
      <c r="F1807" s="48">
        <v>7</v>
      </c>
      <c r="G1807" s="45" t="s">
        <v>4801</v>
      </c>
      <c r="H1807" s="30" t="s">
        <v>2701</v>
      </c>
      <c r="I1807" s="45" t="s">
        <v>158</v>
      </c>
      <c r="J1807" s="45" t="s">
        <v>592</v>
      </c>
      <c r="K1807" s="62" t="s">
        <v>4808</v>
      </c>
    </row>
    <row r="1808" spans="1:11" ht="45" customHeight="1">
      <c r="A1808" s="30">
        <v>105</v>
      </c>
      <c r="B1808" s="45" t="s">
        <v>2011</v>
      </c>
      <c r="C1808" s="45" t="s">
        <v>38</v>
      </c>
      <c r="D1808" s="46"/>
      <c r="E1808" s="47">
        <v>24533</v>
      </c>
      <c r="F1808" s="48">
        <v>7</v>
      </c>
      <c r="G1808" s="45" t="s">
        <v>4798</v>
      </c>
      <c r="H1808" s="30" t="s">
        <v>2702</v>
      </c>
      <c r="I1808" s="45" t="s">
        <v>92</v>
      </c>
      <c r="J1808" s="45" t="s">
        <v>595</v>
      </c>
      <c r="K1808" s="62" t="s">
        <v>4809</v>
      </c>
    </row>
    <row r="1809" spans="1:11" ht="45" customHeight="1">
      <c r="A1809" s="30">
        <v>105</v>
      </c>
      <c r="B1809" s="45" t="s">
        <v>2010</v>
      </c>
      <c r="C1809" s="45" t="s">
        <v>38</v>
      </c>
      <c r="D1809" s="46"/>
      <c r="E1809" s="47">
        <v>85031</v>
      </c>
      <c r="F1809" s="48">
        <v>7</v>
      </c>
      <c r="G1809" s="53" t="s">
        <v>4802</v>
      </c>
      <c r="H1809" s="30" t="s">
        <v>2703</v>
      </c>
      <c r="I1809" s="45" t="s">
        <v>107</v>
      </c>
      <c r="J1809" s="45" t="s">
        <v>108</v>
      </c>
      <c r="K1809" s="62" t="s">
        <v>4810</v>
      </c>
    </row>
    <row r="1810" spans="1:11" ht="45" customHeight="1">
      <c r="A1810" s="30">
        <v>105</v>
      </c>
      <c r="B1810" s="45" t="s">
        <v>2010</v>
      </c>
      <c r="C1810" s="45" t="s">
        <v>38</v>
      </c>
      <c r="D1810" s="46"/>
      <c r="E1810" s="47">
        <v>126815</v>
      </c>
      <c r="F1810" s="48">
        <v>7</v>
      </c>
      <c r="G1810" s="49" t="s">
        <v>4803</v>
      </c>
      <c r="H1810" s="30" t="s">
        <v>2700</v>
      </c>
      <c r="I1810" s="45" t="s">
        <v>107</v>
      </c>
      <c r="J1810" s="45" t="s">
        <v>108</v>
      </c>
      <c r="K1810" s="62" t="s">
        <v>4811</v>
      </c>
    </row>
    <row r="1811" spans="1:11" ht="45" customHeight="1">
      <c r="A1811" s="31"/>
      <c r="B1811" s="58" t="s">
        <v>594</v>
      </c>
      <c r="C1811" s="31"/>
      <c r="D1811" s="31"/>
      <c r="E1811" s="47">
        <f>SUM(E1798:E1810)</f>
        <v>1280701</v>
      </c>
      <c r="F1811" s="31"/>
      <c r="G1811" s="31"/>
      <c r="H1811" s="31"/>
      <c r="I1811" s="31"/>
      <c r="J1811" s="31"/>
      <c r="K1811" s="86"/>
    </row>
    <row r="1812" spans="1:11" ht="45" customHeight="1">
      <c r="A1812" s="31"/>
      <c r="B1812" s="60" t="s">
        <v>34</v>
      </c>
      <c r="C1812" s="31"/>
      <c r="D1812" s="31"/>
      <c r="E1812" s="47"/>
      <c r="F1812" s="31"/>
      <c r="G1812" s="31"/>
      <c r="H1812" s="31"/>
      <c r="I1812" s="31"/>
      <c r="J1812" s="31"/>
      <c r="K1812" s="86"/>
    </row>
    <row r="1813" spans="1:11" ht="45" customHeight="1">
      <c r="A1813" s="30">
        <v>105</v>
      </c>
      <c r="B1813" s="45" t="s">
        <v>2704</v>
      </c>
      <c r="C1813" s="45" t="s">
        <v>38</v>
      </c>
      <c r="D1813" s="46"/>
      <c r="E1813" s="47">
        <v>70794</v>
      </c>
      <c r="F1813" s="48">
        <v>7</v>
      </c>
      <c r="G1813" s="45" t="s">
        <v>4973</v>
      </c>
      <c r="H1813" s="30" t="s">
        <v>2705</v>
      </c>
      <c r="I1813" s="45" t="s">
        <v>92</v>
      </c>
      <c r="J1813" s="45" t="s">
        <v>1890</v>
      </c>
      <c r="K1813" s="50" t="str">
        <f>"00027969"</f>
        <v>00027969</v>
      </c>
    </row>
    <row r="1814" spans="1:11" ht="45" customHeight="1">
      <c r="A1814" s="30">
        <v>105</v>
      </c>
      <c r="B1814" s="45" t="s">
        <v>2706</v>
      </c>
      <c r="C1814" s="45" t="s">
        <v>38</v>
      </c>
      <c r="D1814" s="46"/>
      <c r="E1814" s="47">
        <v>151172</v>
      </c>
      <c r="F1814" s="48">
        <v>7</v>
      </c>
      <c r="G1814" s="51" t="s">
        <v>4974</v>
      </c>
      <c r="H1814" s="30" t="s">
        <v>2707</v>
      </c>
      <c r="I1814" s="45" t="s">
        <v>104</v>
      </c>
      <c r="J1814" s="45" t="s">
        <v>176</v>
      </c>
      <c r="K1814" s="50" t="str">
        <f>"00030899"</f>
        <v>00030899</v>
      </c>
    </row>
    <row r="1815" spans="1:11" ht="45" customHeight="1">
      <c r="A1815" s="30">
        <v>105</v>
      </c>
      <c r="B1815" s="45" t="s">
        <v>4972</v>
      </c>
      <c r="C1815" s="45" t="s">
        <v>38</v>
      </c>
      <c r="D1815" s="46"/>
      <c r="E1815" s="47">
        <v>47883</v>
      </c>
      <c r="F1815" s="48">
        <v>7</v>
      </c>
      <c r="G1815" s="51" t="s">
        <v>4975</v>
      </c>
      <c r="H1815" s="30" t="s">
        <v>2869</v>
      </c>
      <c r="I1815" s="45" t="s">
        <v>92</v>
      </c>
      <c r="J1815" s="45" t="s">
        <v>110</v>
      </c>
      <c r="K1815" s="50" t="str">
        <f>"00026768"</f>
        <v>00026768</v>
      </c>
    </row>
    <row r="1816" spans="1:11" ht="45" customHeight="1">
      <c r="A1816" s="30"/>
      <c r="B1816" s="58" t="s">
        <v>529</v>
      </c>
      <c r="C1816" s="45"/>
      <c r="D1816" s="46"/>
      <c r="E1816" s="47">
        <f>SUM(E1813:E1815)</f>
        <v>269849</v>
      </c>
      <c r="F1816" s="30"/>
      <c r="G1816" s="45"/>
      <c r="H1816" s="45"/>
      <c r="I1816" s="45"/>
      <c r="J1816" s="45"/>
      <c r="K1816" s="98"/>
    </row>
    <row r="1817" spans="1:11" ht="45" customHeight="1">
      <c r="A1817" s="30"/>
      <c r="B1817" s="56" t="s">
        <v>28</v>
      </c>
      <c r="C1817" s="45"/>
      <c r="D1817" s="46"/>
      <c r="E1817" s="45"/>
      <c r="F1817" s="30"/>
      <c r="G1817" s="45"/>
      <c r="H1817" s="45"/>
      <c r="I1817" s="45"/>
      <c r="J1817" s="45"/>
      <c r="K1817" s="50"/>
    </row>
    <row r="1818" spans="1:11" ht="45" customHeight="1">
      <c r="A1818" s="30">
        <v>105</v>
      </c>
      <c r="B1818" s="45" t="s">
        <v>2713</v>
      </c>
      <c r="C1818" s="45" t="s">
        <v>38</v>
      </c>
      <c r="D1818" s="46"/>
      <c r="E1818" s="47">
        <v>107162</v>
      </c>
      <c r="F1818" s="48">
        <v>7</v>
      </c>
      <c r="G1818" s="49" t="s">
        <v>5135</v>
      </c>
      <c r="H1818" s="30" t="s">
        <v>2714</v>
      </c>
      <c r="I1818" s="45" t="s">
        <v>150</v>
      </c>
      <c r="J1818" s="45" t="s">
        <v>151</v>
      </c>
      <c r="K1818" s="50" t="str">
        <f>"00030598"</f>
        <v>00030598</v>
      </c>
    </row>
    <row r="1819" spans="1:11" ht="45" customHeight="1">
      <c r="A1819" s="30">
        <v>105</v>
      </c>
      <c r="B1819" s="45" t="s">
        <v>2711</v>
      </c>
      <c r="C1819" s="45" t="s">
        <v>38</v>
      </c>
      <c r="D1819" s="46"/>
      <c r="E1819" s="47">
        <v>138729</v>
      </c>
      <c r="F1819" s="48">
        <v>7</v>
      </c>
      <c r="G1819" s="76" t="s">
        <v>5133</v>
      </c>
      <c r="H1819" s="30" t="s">
        <v>2712</v>
      </c>
      <c r="I1819" s="45" t="s">
        <v>91</v>
      </c>
      <c r="J1819" s="45" t="s">
        <v>1691</v>
      </c>
      <c r="K1819" s="50" t="str">
        <f>"00028354"</f>
        <v>00028354</v>
      </c>
    </row>
    <row r="1820" spans="1:11" ht="45" customHeight="1">
      <c r="A1820" s="30">
        <v>105</v>
      </c>
      <c r="B1820" s="45" t="s">
        <v>2018</v>
      </c>
      <c r="C1820" s="45" t="s">
        <v>38</v>
      </c>
      <c r="D1820" s="46"/>
      <c r="E1820" s="47">
        <v>199572</v>
      </c>
      <c r="F1820" s="48">
        <v>7</v>
      </c>
      <c r="G1820" s="49" t="s">
        <v>5134</v>
      </c>
      <c r="H1820" s="30" t="s">
        <v>2708</v>
      </c>
      <c r="I1820" s="53" t="s">
        <v>2709</v>
      </c>
      <c r="J1820" s="52" t="s">
        <v>2710</v>
      </c>
      <c r="K1820" s="50" t="str">
        <f>"00030996"</f>
        <v>00030996</v>
      </c>
    </row>
    <row r="1821" spans="1:11" ht="45" customHeight="1">
      <c r="A1821" s="30"/>
      <c r="B1821" s="58" t="s">
        <v>29</v>
      </c>
      <c r="C1821" s="45"/>
      <c r="D1821" s="46"/>
      <c r="E1821" s="47">
        <f>SUM(E1818:E1820)</f>
        <v>445463</v>
      </c>
      <c r="F1821" s="30"/>
      <c r="G1821" s="45"/>
      <c r="H1821" s="45"/>
      <c r="I1821" s="45"/>
      <c r="J1821" s="45"/>
      <c r="K1821" s="50" t="str">
        <f>"　"</f>
        <v>　</v>
      </c>
    </row>
    <row r="1822" spans="1:11" ht="45" customHeight="1">
      <c r="A1822" s="30"/>
      <c r="B1822" s="60" t="s">
        <v>68</v>
      </c>
      <c r="C1822" s="45"/>
      <c r="D1822" s="46"/>
      <c r="E1822" s="47"/>
      <c r="F1822" s="30"/>
      <c r="G1822" s="45"/>
      <c r="H1822" s="45"/>
      <c r="I1822" s="45"/>
      <c r="J1822" s="45"/>
      <c r="K1822" s="50"/>
    </row>
    <row r="1823" spans="1:11" ht="45" customHeight="1">
      <c r="A1823" s="30">
        <v>105</v>
      </c>
      <c r="B1823" s="45" t="s">
        <v>2021</v>
      </c>
      <c r="C1823" s="45" t="s">
        <v>38</v>
      </c>
      <c r="D1823" s="46"/>
      <c r="E1823" s="47">
        <v>62345</v>
      </c>
      <c r="F1823" s="48">
        <v>7</v>
      </c>
      <c r="G1823" s="45" t="s">
        <v>5319</v>
      </c>
      <c r="H1823" s="30" t="s">
        <v>2715</v>
      </c>
      <c r="I1823" s="45" t="s">
        <v>107</v>
      </c>
      <c r="J1823" s="51" t="s">
        <v>109</v>
      </c>
      <c r="K1823" s="61" t="s">
        <v>5324</v>
      </c>
    </row>
    <row r="1824" spans="1:11" ht="45" customHeight="1">
      <c r="A1824" s="30">
        <v>105</v>
      </c>
      <c r="B1824" s="45" t="s">
        <v>2023</v>
      </c>
      <c r="C1824" s="45" t="s">
        <v>38</v>
      </c>
      <c r="D1824" s="46"/>
      <c r="E1824" s="47">
        <v>79532</v>
      </c>
      <c r="F1824" s="48">
        <v>7</v>
      </c>
      <c r="G1824" s="45" t="s">
        <v>5320</v>
      </c>
      <c r="H1824" s="30" t="s">
        <v>1674</v>
      </c>
      <c r="I1824" s="45" t="s">
        <v>111</v>
      </c>
      <c r="J1824" s="45" t="s">
        <v>625</v>
      </c>
      <c r="K1824" s="61" t="s">
        <v>5325</v>
      </c>
    </row>
    <row r="1825" spans="1:11" ht="45" customHeight="1">
      <c r="A1825" s="30">
        <v>105</v>
      </c>
      <c r="B1825" s="45" t="s">
        <v>2020</v>
      </c>
      <c r="C1825" s="45" t="s">
        <v>38</v>
      </c>
      <c r="D1825" s="46"/>
      <c r="E1825" s="47">
        <v>50000</v>
      </c>
      <c r="F1825" s="48">
        <v>7</v>
      </c>
      <c r="G1825" s="45" t="s">
        <v>5321</v>
      </c>
      <c r="H1825" s="30" t="s">
        <v>2716</v>
      </c>
      <c r="I1825" s="45" t="s">
        <v>92</v>
      </c>
      <c r="J1825" s="45" t="s">
        <v>200</v>
      </c>
      <c r="K1825" s="61" t="s">
        <v>5326</v>
      </c>
    </row>
    <row r="1826" spans="1:11" ht="45" customHeight="1">
      <c r="A1826" s="30">
        <v>105</v>
      </c>
      <c r="B1826" s="45" t="s">
        <v>2021</v>
      </c>
      <c r="C1826" s="45" t="s">
        <v>38</v>
      </c>
      <c r="D1826" s="46"/>
      <c r="E1826" s="47">
        <v>7150</v>
      </c>
      <c r="F1826" s="48">
        <v>7</v>
      </c>
      <c r="G1826" s="45" t="s">
        <v>5322</v>
      </c>
      <c r="H1826" s="30" t="s">
        <v>2719</v>
      </c>
      <c r="I1826" s="45" t="s">
        <v>92</v>
      </c>
      <c r="J1826" s="45" t="s">
        <v>156</v>
      </c>
      <c r="K1826" s="61" t="s">
        <v>5327</v>
      </c>
    </row>
    <row r="1827" spans="1:11" ht="45" customHeight="1">
      <c r="A1827" s="30">
        <v>105</v>
      </c>
      <c r="B1827" s="45" t="s">
        <v>2717</v>
      </c>
      <c r="C1827" s="45" t="s">
        <v>38</v>
      </c>
      <c r="D1827" s="46"/>
      <c r="E1827" s="47">
        <v>60635</v>
      </c>
      <c r="F1827" s="48">
        <v>7</v>
      </c>
      <c r="G1827" s="53" t="s">
        <v>5323</v>
      </c>
      <c r="H1827" s="30" t="s">
        <v>2718</v>
      </c>
      <c r="I1827" s="45" t="s">
        <v>92</v>
      </c>
      <c r="J1827" s="45" t="s">
        <v>355</v>
      </c>
      <c r="K1827" s="61" t="s">
        <v>5328</v>
      </c>
    </row>
    <row r="1828" spans="1:11" ht="45" customHeight="1">
      <c r="A1828" s="30">
        <v>105</v>
      </c>
      <c r="B1828" s="45" t="s">
        <v>5275</v>
      </c>
      <c r="C1828" s="45" t="s">
        <v>38</v>
      </c>
      <c r="D1828" s="46"/>
      <c r="E1828" s="47">
        <v>84952</v>
      </c>
      <c r="F1828" s="48">
        <v>7</v>
      </c>
      <c r="G1828" s="45" t="s">
        <v>5287</v>
      </c>
      <c r="H1828" s="30" t="s">
        <v>5317</v>
      </c>
      <c r="I1828" s="45" t="s">
        <v>107</v>
      </c>
      <c r="J1828" s="45" t="s">
        <v>184</v>
      </c>
      <c r="K1828" s="50" t="s">
        <v>5318</v>
      </c>
    </row>
    <row r="1829" spans="1:11" ht="45" customHeight="1">
      <c r="A1829" s="31"/>
      <c r="B1829" s="58" t="s">
        <v>67</v>
      </c>
      <c r="C1829" s="31"/>
      <c r="D1829" s="31"/>
      <c r="E1829" s="47">
        <f>SUM(E1823:E1828)</f>
        <v>344614</v>
      </c>
      <c r="F1829" s="31"/>
      <c r="G1829" s="31"/>
      <c r="H1829" s="31"/>
      <c r="I1829" s="31"/>
      <c r="J1829" s="31"/>
      <c r="K1829" s="31"/>
    </row>
    <row r="1830" spans="1:11" ht="45" customHeight="1">
      <c r="A1830" s="30">
        <v>105</v>
      </c>
      <c r="B1830" s="45" t="s">
        <v>0</v>
      </c>
      <c r="C1830" s="45" t="s">
        <v>38</v>
      </c>
      <c r="D1830" s="46">
        <v>200000</v>
      </c>
      <c r="E1830" s="47"/>
      <c r="F1830" s="48">
        <v>7</v>
      </c>
      <c r="G1830" s="45" t="s">
        <v>123</v>
      </c>
      <c r="H1830" s="30"/>
      <c r="I1830" s="45" t="s">
        <v>45</v>
      </c>
      <c r="J1830" s="45"/>
      <c r="K1830" s="98" t="str">
        <f>"　"</f>
        <v>　</v>
      </c>
    </row>
    <row r="1831" spans="1:11" ht="45" customHeight="1">
      <c r="A1831" s="30">
        <v>105</v>
      </c>
      <c r="B1831" s="45" t="s">
        <v>441</v>
      </c>
      <c r="C1831" s="45" t="s">
        <v>38</v>
      </c>
      <c r="D1831" s="46"/>
      <c r="E1831" s="47">
        <v>116974</v>
      </c>
      <c r="F1831" s="48">
        <v>7</v>
      </c>
      <c r="G1831" s="49" t="s">
        <v>2720</v>
      </c>
      <c r="H1831" s="30" t="s">
        <v>2440</v>
      </c>
      <c r="I1831" s="45" t="s">
        <v>107</v>
      </c>
      <c r="J1831" s="49" t="s">
        <v>647</v>
      </c>
      <c r="K1831" s="50" t="str">
        <f>"00030794"</f>
        <v>00030794</v>
      </c>
    </row>
    <row r="1832" spans="1:11" ht="45" customHeight="1">
      <c r="A1832" s="30">
        <v>105</v>
      </c>
      <c r="B1832" s="45" t="s">
        <v>0</v>
      </c>
      <c r="C1832" s="45" t="s">
        <v>38</v>
      </c>
      <c r="D1832" s="46">
        <v>480000</v>
      </c>
      <c r="E1832" s="47"/>
      <c r="F1832" s="48">
        <v>7</v>
      </c>
      <c r="G1832" s="45" t="s">
        <v>566</v>
      </c>
      <c r="H1832" s="30"/>
      <c r="I1832" s="45" t="s">
        <v>44</v>
      </c>
      <c r="J1832" s="45"/>
      <c r="K1832" s="50" t="str">
        <f>"　"</f>
        <v>　</v>
      </c>
    </row>
    <row r="1833" spans="1:11" ht="45" customHeight="1">
      <c r="A1833" s="30">
        <v>105</v>
      </c>
      <c r="B1833" s="45" t="s">
        <v>598</v>
      </c>
      <c r="C1833" s="45" t="s">
        <v>38</v>
      </c>
      <c r="D1833" s="46"/>
      <c r="E1833" s="47">
        <v>40678</v>
      </c>
      <c r="F1833" s="48">
        <v>7</v>
      </c>
      <c r="G1833" s="45" t="s">
        <v>2721</v>
      </c>
      <c r="H1833" s="30" t="s">
        <v>2186</v>
      </c>
      <c r="I1833" s="45" t="s">
        <v>100</v>
      </c>
      <c r="J1833" s="45" t="s">
        <v>39</v>
      </c>
      <c r="K1833" s="50" t="str">
        <f>"00028927"</f>
        <v>00028927</v>
      </c>
    </row>
    <row r="1834" spans="1:11" ht="45" customHeight="1">
      <c r="A1834" s="30">
        <v>105</v>
      </c>
      <c r="B1834" s="45" t="s">
        <v>186</v>
      </c>
      <c r="C1834" s="45" t="s">
        <v>38</v>
      </c>
      <c r="D1834" s="46">
        <v>1320000</v>
      </c>
      <c r="E1834" s="47"/>
      <c r="F1834" s="48">
        <v>7</v>
      </c>
      <c r="G1834" s="45" t="s">
        <v>783</v>
      </c>
      <c r="H1834" s="30"/>
      <c r="I1834" s="45" t="s">
        <v>45</v>
      </c>
      <c r="J1834" s="45"/>
      <c r="K1834" s="50" t="str">
        <f>"　"</f>
        <v>　</v>
      </c>
    </row>
    <row r="1835" spans="1:11" ht="45" customHeight="1">
      <c r="A1835" s="30">
        <v>105</v>
      </c>
      <c r="B1835" s="45" t="s">
        <v>797</v>
      </c>
      <c r="C1835" s="45" t="s">
        <v>38</v>
      </c>
      <c r="D1835" s="46"/>
      <c r="E1835" s="47">
        <v>31090</v>
      </c>
      <c r="F1835" s="48">
        <v>7</v>
      </c>
      <c r="G1835" s="45" t="s">
        <v>2722</v>
      </c>
      <c r="H1835" s="30" t="s">
        <v>1313</v>
      </c>
      <c r="I1835" s="45" t="s">
        <v>92</v>
      </c>
      <c r="J1835" s="45" t="s">
        <v>59</v>
      </c>
      <c r="K1835" s="50" t="str">
        <f>"00028470"</f>
        <v>00028470</v>
      </c>
    </row>
    <row r="1836" spans="1:11" ht="45" customHeight="1">
      <c r="A1836" s="30">
        <v>105</v>
      </c>
      <c r="B1836" s="45" t="s">
        <v>797</v>
      </c>
      <c r="C1836" s="45" t="s">
        <v>38</v>
      </c>
      <c r="D1836" s="46"/>
      <c r="E1836" s="47">
        <v>31090</v>
      </c>
      <c r="F1836" s="48">
        <v>7</v>
      </c>
      <c r="G1836" s="45" t="s">
        <v>2722</v>
      </c>
      <c r="H1836" s="30" t="s">
        <v>1313</v>
      </c>
      <c r="I1836" s="45" t="s">
        <v>92</v>
      </c>
      <c r="J1836" s="45" t="s">
        <v>59</v>
      </c>
      <c r="K1836" s="50" t="str">
        <f>"00028472"</f>
        <v>00028472</v>
      </c>
    </row>
    <row r="1837" spans="1:11" ht="45" customHeight="1">
      <c r="A1837" s="30">
        <v>105</v>
      </c>
      <c r="B1837" s="45" t="s">
        <v>797</v>
      </c>
      <c r="C1837" s="45" t="s">
        <v>38</v>
      </c>
      <c r="D1837" s="46"/>
      <c r="E1837" s="47">
        <v>35858</v>
      </c>
      <c r="F1837" s="48">
        <v>7</v>
      </c>
      <c r="G1837" s="49" t="s">
        <v>2723</v>
      </c>
      <c r="H1837" s="30" t="s">
        <v>1674</v>
      </c>
      <c r="I1837" s="45" t="s">
        <v>92</v>
      </c>
      <c r="J1837" s="76" t="s">
        <v>2724</v>
      </c>
      <c r="K1837" s="50" t="str">
        <f>"00028570"</f>
        <v>00028570</v>
      </c>
    </row>
    <row r="1838" spans="1:11" ht="45" customHeight="1">
      <c r="A1838" s="30">
        <v>105</v>
      </c>
      <c r="B1838" s="45" t="s">
        <v>797</v>
      </c>
      <c r="C1838" s="45" t="s">
        <v>38</v>
      </c>
      <c r="D1838" s="46"/>
      <c r="E1838" s="47">
        <v>18710</v>
      </c>
      <c r="F1838" s="48">
        <v>7</v>
      </c>
      <c r="G1838" s="45" t="s">
        <v>2725</v>
      </c>
      <c r="H1838" s="30" t="s">
        <v>2726</v>
      </c>
      <c r="I1838" s="45" t="s">
        <v>92</v>
      </c>
      <c r="J1838" s="45" t="s">
        <v>2727</v>
      </c>
      <c r="K1838" s="50" t="str">
        <f>"00028243"</f>
        <v>00028243</v>
      </c>
    </row>
    <row r="1839" spans="1:11" ht="45" customHeight="1">
      <c r="A1839" s="30">
        <v>105</v>
      </c>
      <c r="B1839" s="45" t="s">
        <v>797</v>
      </c>
      <c r="C1839" s="45" t="s">
        <v>38</v>
      </c>
      <c r="D1839" s="46"/>
      <c r="E1839" s="47">
        <v>34336</v>
      </c>
      <c r="F1839" s="48">
        <v>7</v>
      </c>
      <c r="G1839" s="45" t="s">
        <v>2722</v>
      </c>
      <c r="H1839" s="30" t="s">
        <v>2728</v>
      </c>
      <c r="I1839" s="45" t="s">
        <v>92</v>
      </c>
      <c r="J1839" s="45" t="s">
        <v>59</v>
      </c>
      <c r="K1839" s="50" t="str">
        <f>"00028567"</f>
        <v>00028567</v>
      </c>
    </row>
    <row r="1840" spans="1:11" ht="45" customHeight="1">
      <c r="A1840" s="30">
        <v>105</v>
      </c>
      <c r="B1840" s="45" t="s">
        <v>797</v>
      </c>
      <c r="C1840" s="45" t="s">
        <v>38</v>
      </c>
      <c r="D1840" s="46"/>
      <c r="E1840" s="47">
        <v>37298</v>
      </c>
      <c r="F1840" s="48">
        <v>7</v>
      </c>
      <c r="G1840" s="45" t="s">
        <v>2722</v>
      </c>
      <c r="H1840" s="30" t="s">
        <v>2729</v>
      </c>
      <c r="I1840" s="45" t="s">
        <v>92</v>
      </c>
      <c r="J1840" s="45" t="s">
        <v>47</v>
      </c>
      <c r="K1840" s="50" t="str">
        <f>"00028622"</f>
        <v>00028622</v>
      </c>
    </row>
    <row r="1841" spans="1:11" ht="45" customHeight="1">
      <c r="A1841" s="30">
        <v>105</v>
      </c>
      <c r="B1841" s="45" t="s">
        <v>797</v>
      </c>
      <c r="C1841" s="45" t="s">
        <v>38</v>
      </c>
      <c r="D1841" s="46"/>
      <c r="E1841" s="47">
        <v>23364</v>
      </c>
      <c r="F1841" s="48">
        <v>7</v>
      </c>
      <c r="G1841" s="45" t="s">
        <v>2730</v>
      </c>
      <c r="H1841" s="30" t="s">
        <v>2731</v>
      </c>
      <c r="I1841" s="45" t="s">
        <v>92</v>
      </c>
      <c r="J1841" s="45" t="s">
        <v>59</v>
      </c>
      <c r="K1841" s="50" t="str">
        <f>"00027242"</f>
        <v>00027242</v>
      </c>
    </row>
    <row r="1842" spans="1:11" ht="45" customHeight="1">
      <c r="A1842" s="30">
        <v>105</v>
      </c>
      <c r="B1842" s="45" t="s">
        <v>797</v>
      </c>
      <c r="C1842" s="45" t="s">
        <v>38</v>
      </c>
      <c r="D1842" s="46"/>
      <c r="E1842" s="47">
        <v>34591</v>
      </c>
      <c r="F1842" s="48">
        <v>7</v>
      </c>
      <c r="G1842" s="45" t="s">
        <v>2732</v>
      </c>
      <c r="H1842" s="30" t="s">
        <v>2729</v>
      </c>
      <c r="I1842" s="45" t="s">
        <v>92</v>
      </c>
      <c r="J1842" s="45" t="s">
        <v>59</v>
      </c>
      <c r="K1842" s="50" t="str">
        <f>"00028600"</f>
        <v>00028600</v>
      </c>
    </row>
    <row r="1843" spans="1:11" ht="45" customHeight="1">
      <c r="A1843" s="30">
        <v>105</v>
      </c>
      <c r="B1843" s="45" t="s">
        <v>797</v>
      </c>
      <c r="C1843" s="45" t="s">
        <v>38</v>
      </c>
      <c r="D1843" s="46"/>
      <c r="E1843" s="47">
        <v>25454</v>
      </c>
      <c r="F1843" s="48">
        <v>7</v>
      </c>
      <c r="G1843" s="45" t="s">
        <v>2733</v>
      </c>
      <c r="H1843" s="30" t="s">
        <v>2734</v>
      </c>
      <c r="I1843" s="45" t="s">
        <v>92</v>
      </c>
      <c r="J1843" s="45" t="s">
        <v>47</v>
      </c>
      <c r="K1843" s="50" t="str">
        <f>"00029937"</f>
        <v>00029937</v>
      </c>
    </row>
    <row r="1844" spans="1:11" ht="45" customHeight="1">
      <c r="A1844" s="30">
        <v>105</v>
      </c>
      <c r="B1844" s="45" t="s">
        <v>797</v>
      </c>
      <c r="C1844" s="45" t="s">
        <v>38</v>
      </c>
      <c r="D1844" s="46"/>
      <c r="E1844" s="47">
        <v>91325</v>
      </c>
      <c r="F1844" s="48">
        <v>7</v>
      </c>
      <c r="G1844" s="45" t="s">
        <v>2735</v>
      </c>
      <c r="H1844" s="30" t="s">
        <v>2736</v>
      </c>
      <c r="I1844" s="45" t="s">
        <v>104</v>
      </c>
      <c r="J1844" s="45" t="s">
        <v>360</v>
      </c>
      <c r="K1844" s="50" t="s">
        <v>3261</v>
      </c>
    </row>
    <row r="1845" spans="1:11" ht="45" customHeight="1">
      <c r="A1845" s="30">
        <v>105</v>
      </c>
      <c r="B1845" s="45" t="s">
        <v>797</v>
      </c>
      <c r="C1845" s="45" t="s">
        <v>38</v>
      </c>
      <c r="D1845" s="46"/>
      <c r="E1845" s="47">
        <v>36699</v>
      </c>
      <c r="F1845" s="48">
        <v>7</v>
      </c>
      <c r="G1845" s="45" t="s">
        <v>2733</v>
      </c>
      <c r="H1845" s="30" t="s">
        <v>2737</v>
      </c>
      <c r="I1845" s="45" t="s">
        <v>92</v>
      </c>
      <c r="J1845" s="45" t="s">
        <v>47</v>
      </c>
      <c r="K1845" s="50" t="str">
        <f>"00029486"</f>
        <v>00029486</v>
      </c>
    </row>
    <row r="1846" spans="1:11" ht="45" customHeight="1">
      <c r="A1846" s="30">
        <v>105</v>
      </c>
      <c r="B1846" s="45" t="s">
        <v>797</v>
      </c>
      <c r="C1846" s="45" t="s">
        <v>38</v>
      </c>
      <c r="D1846" s="46"/>
      <c r="E1846" s="47">
        <v>46402</v>
      </c>
      <c r="F1846" s="48">
        <v>7</v>
      </c>
      <c r="G1846" s="45" t="s">
        <v>2738</v>
      </c>
      <c r="H1846" s="30" t="s">
        <v>1810</v>
      </c>
      <c r="I1846" s="45" t="s">
        <v>92</v>
      </c>
      <c r="J1846" s="45" t="s">
        <v>47</v>
      </c>
      <c r="K1846" s="50" t="str">
        <f>"00029514"</f>
        <v>00029514</v>
      </c>
    </row>
    <row r="1847" spans="1:11" ht="45" customHeight="1">
      <c r="A1847" s="30">
        <v>105</v>
      </c>
      <c r="B1847" s="45" t="s">
        <v>797</v>
      </c>
      <c r="C1847" s="45" t="s">
        <v>38</v>
      </c>
      <c r="D1847" s="46"/>
      <c r="E1847" s="47">
        <v>27443</v>
      </c>
      <c r="F1847" s="48">
        <v>7</v>
      </c>
      <c r="G1847" s="45" t="s">
        <v>2722</v>
      </c>
      <c r="H1847" s="30" t="s">
        <v>2739</v>
      </c>
      <c r="I1847" s="45" t="s">
        <v>92</v>
      </c>
      <c r="J1847" s="45" t="s">
        <v>59</v>
      </c>
      <c r="K1847" s="50" t="str">
        <f>"00029554"</f>
        <v>00029554</v>
      </c>
    </row>
    <row r="1848" spans="1:11" ht="45" customHeight="1">
      <c r="A1848" s="30">
        <v>105</v>
      </c>
      <c r="B1848" s="45" t="s">
        <v>797</v>
      </c>
      <c r="C1848" s="45" t="s">
        <v>38</v>
      </c>
      <c r="D1848" s="46"/>
      <c r="E1848" s="47">
        <v>33924</v>
      </c>
      <c r="F1848" s="48">
        <v>7</v>
      </c>
      <c r="G1848" s="45" t="s">
        <v>2740</v>
      </c>
      <c r="H1848" s="30" t="s">
        <v>1754</v>
      </c>
      <c r="I1848" s="45" t="s">
        <v>92</v>
      </c>
      <c r="J1848" s="45" t="s">
        <v>47</v>
      </c>
      <c r="K1848" s="50" t="str">
        <f>"00029544"</f>
        <v>00029544</v>
      </c>
    </row>
    <row r="1849" spans="1:11" ht="45" customHeight="1">
      <c r="A1849" s="30">
        <v>105</v>
      </c>
      <c r="B1849" s="45" t="s">
        <v>797</v>
      </c>
      <c r="C1849" s="45" t="s">
        <v>38</v>
      </c>
      <c r="D1849" s="46"/>
      <c r="E1849" s="47">
        <v>25585</v>
      </c>
      <c r="F1849" s="48">
        <v>7</v>
      </c>
      <c r="G1849" s="45" t="s">
        <v>2722</v>
      </c>
      <c r="H1849" s="30" t="s">
        <v>2741</v>
      </c>
      <c r="I1849" s="45" t="s">
        <v>92</v>
      </c>
      <c r="J1849" s="45" t="s">
        <v>59</v>
      </c>
      <c r="K1849" s="50" t="str">
        <f>"00030082"</f>
        <v>00030082</v>
      </c>
    </row>
    <row r="1850" spans="1:11" ht="45" customHeight="1">
      <c r="A1850" s="30">
        <v>105</v>
      </c>
      <c r="B1850" s="45" t="s">
        <v>797</v>
      </c>
      <c r="C1850" s="45" t="s">
        <v>38</v>
      </c>
      <c r="D1850" s="46"/>
      <c r="E1850" s="47">
        <v>40081</v>
      </c>
      <c r="F1850" s="48">
        <v>7</v>
      </c>
      <c r="G1850" s="45" t="s">
        <v>2742</v>
      </c>
      <c r="H1850" s="30" t="s">
        <v>2743</v>
      </c>
      <c r="I1850" s="45" t="s">
        <v>92</v>
      </c>
      <c r="J1850" s="45" t="s">
        <v>59</v>
      </c>
      <c r="K1850" s="50" t="str">
        <f>"00032585"</f>
        <v>00032585</v>
      </c>
    </row>
    <row r="1851" spans="1:11" ht="45" customHeight="1">
      <c r="A1851" s="30">
        <v>105</v>
      </c>
      <c r="B1851" s="45" t="s">
        <v>797</v>
      </c>
      <c r="C1851" s="45" t="s">
        <v>38</v>
      </c>
      <c r="D1851" s="46"/>
      <c r="E1851" s="47">
        <v>36813</v>
      </c>
      <c r="F1851" s="48">
        <v>7</v>
      </c>
      <c r="G1851" s="45" t="s">
        <v>2744</v>
      </c>
      <c r="H1851" s="30" t="s">
        <v>2743</v>
      </c>
      <c r="I1851" s="45" t="s">
        <v>92</v>
      </c>
      <c r="J1851" s="45" t="s">
        <v>59</v>
      </c>
      <c r="K1851" s="50" t="str">
        <f>"00032504"</f>
        <v>00032504</v>
      </c>
    </row>
    <row r="1852" spans="1:11" ht="45" customHeight="1">
      <c r="A1852" s="30">
        <v>105</v>
      </c>
      <c r="B1852" s="45" t="s">
        <v>797</v>
      </c>
      <c r="C1852" s="45" t="s">
        <v>38</v>
      </c>
      <c r="D1852" s="46"/>
      <c r="E1852" s="47">
        <v>28373</v>
      </c>
      <c r="F1852" s="48">
        <v>7</v>
      </c>
      <c r="G1852" s="45" t="s">
        <v>2733</v>
      </c>
      <c r="H1852" s="30" t="s">
        <v>1833</v>
      </c>
      <c r="I1852" s="45" t="s">
        <v>92</v>
      </c>
      <c r="J1852" s="45" t="s">
        <v>47</v>
      </c>
      <c r="K1852" s="50" t="str">
        <f>"00031464"</f>
        <v>00031464</v>
      </c>
    </row>
    <row r="1853" spans="1:11" ht="45" customHeight="1">
      <c r="A1853" s="30">
        <v>105</v>
      </c>
      <c r="B1853" s="45" t="s">
        <v>797</v>
      </c>
      <c r="C1853" s="45" t="s">
        <v>38</v>
      </c>
      <c r="D1853" s="46"/>
      <c r="E1853" s="47">
        <v>27077</v>
      </c>
      <c r="F1853" s="48">
        <v>7</v>
      </c>
      <c r="G1853" s="45" t="s">
        <v>2745</v>
      </c>
      <c r="H1853" s="30" t="s">
        <v>1633</v>
      </c>
      <c r="I1853" s="45" t="s">
        <v>92</v>
      </c>
      <c r="J1853" s="45" t="s">
        <v>59</v>
      </c>
      <c r="K1853" s="50" t="str">
        <f>"00031480"</f>
        <v>00031480</v>
      </c>
    </row>
    <row r="1854" spans="1:11" ht="45" customHeight="1">
      <c r="A1854" s="30">
        <v>105</v>
      </c>
      <c r="B1854" s="45" t="s">
        <v>797</v>
      </c>
      <c r="C1854" s="45" t="s">
        <v>38</v>
      </c>
      <c r="D1854" s="46"/>
      <c r="E1854" s="47">
        <v>27172</v>
      </c>
      <c r="F1854" s="48">
        <v>7</v>
      </c>
      <c r="G1854" s="45" t="s">
        <v>2745</v>
      </c>
      <c r="H1854" s="30" t="s">
        <v>1339</v>
      </c>
      <c r="I1854" s="45" t="s">
        <v>92</v>
      </c>
      <c r="J1854" s="45" t="s">
        <v>59</v>
      </c>
      <c r="K1854" s="50" t="str">
        <f>"00031485"</f>
        <v>00031485</v>
      </c>
    </row>
    <row r="1855" spans="1:11" ht="45" customHeight="1">
      <c r="A1855" s="30">
        <v>105</v>
      </c>
      <c r="B1855" s="45" t="s">
        <v>797</v>
      </c>
      <c r="C1855" s="45" t="s">
        <v>38</v>
      </c>
      <c r="D1855" s="46"/>
      <c r="E1855" s="47">
        <v>39059</v>
      </c>
      <c r="F1855" s="48">
        <v>7</v>
      </c>
      <c r="G1855" s="45" t="s">
        <v>2722</v>
      </c>
      <c r="H1855" s="30" t="s">
        <v>1443</v>
      </c>
      <c r="I1855" s="45" t="s">
        <v>92</v>
      </c>
      <c r="J1855" s="45" t="s">
        <v>59</v>
      </c>
      <c r="K1855" s="50" t="str">
        <f>"00032562"</f>
        <v>00032562</v>
      </c>
    </row>
    <row r="1856" spans="1:11" ht="45" customHeight="1">
      <c r="A1856" s="30">
        <v>105</v>
      </c>
      <c r="B1856" s="45" t="s">
        <v>797</v>
      </c>
      <c r="C1856" s="45" t="s">
        <v>38</v>
      </c>
      <c r="D1856" s="46"/>
      <c r="E1856" s="47">
        <v>44466</v>
      </c>
      <c r="F1856" s="48">
        <v>7</v>
      </c>
      <c r="G1856" s="45" t="s">
        <v>2745</v>
      </c>
      <c r="H1856" s="30" t="s">
        <v>2746</v>
      </c>
      <c r="I1856" s="45" t="s">
        <v>92</v>
      </c>
      <c r="J1856" s="45" t="s">
        <v>59</v>
      </c>
      <c r="K1856" s="50" t="str">
        <f>"00031486"</f>
        <v>00031486</v>
      </c>
    </row>
    <row r="1857" spans="1:11" ht="45" customHeight="1">
      <c r="A1857" s="30">
        <v>105</v>
      </c>
      <c r="B1857" s="45" t="s">
        <v>797</v>
      </c>
      <c r="C1857" s="45" t="s">
        <v>38</v>
      </c>
      <c r="D1857" s="46"/>
      <c r="E1857" s="47">
        <v>30601</v>
      </c>
      <c r="F1857" s="48">
        <v>7</v>
      </c>
      <c r="G1857" s="45" t="s">
        <v>2733</v>
      </c>
      <c r="H1857" s="30" t="s">
        <v>2747</v>
      </c>
      <c r="I1857" s="45" t="s">
        <v>92</v>
      </c>
      <c r="J1857" s="45" t="s">
        <v>2748</v>
      </c>
      <c r="K1857" s="50" t="str">
        <f>"00032912"</f>
        <v>00032912</v>
      </c>
    </row>
    <row r="1858" spans="1:11" ht="45" customHeight="1">
      <c r="A1858" s="30">
        <v>105</v>
      </c>
      <c r="B1858" s="45" t="s">
        <v>797</v>
      </c>
      <c r="C1858" s="45" t="s">
        <v>38</v>
      </c>
      <c r="D1858" s="46"/>
      <c r="E1858" s="47">
        <v>47000</v>
      </c>
      <c r="F1858" s="48">
        <v>7</v>
      </c>
      <c r="G1858" s="45" t="s">
        <v>2749</v>
      </c>
      <c r="H1858" s="30" t="s">
        <v>2750</v>
      </c>
      <c r="I1858" s="45" t="s">
        <v>104</v>
      </c>
      <c r="J1858" s="45" t="s">
        <v>360</v>
      </c>
      <c r="K1858" s="50" t="str">
        <f>"00031635"</f>
        <v>00031635</v>
      </c>
    </row>
    <row r="1859" spans="1:11" ht="45" customHeight="1">
      <c r="A1859" s="30">
        <v>105</v>
      </c>
      <c r="B1859" s="45" t="s">
        <v>797</v>
      </c>
      <c r="C1859" s="45" t="s">
        <v>38</v>
      </c>
      <c r="D1859" s="46"/>
      <c r="E1859" s="47">
        <v>16489</v>
      </c>
      <c r="F1859" s="48">
        <v>7</v>
      </c>
      <c r="G1859" s="45" t="s">
        <v>2751</v>
      </c>
      <c r="H1859" s="30" t="s">
        <v>2752</v>
      </c>
      <c r="I1859" s="45" t="s">
        <v>92</v>
      </c>
      <c r="J1859" s="45" t="s">
        <v>2753</v>
      </c>
      <c r="K1859" s="50" t="s">
        <v>3262</v>
      </c>
    </row>
    <row r="1860" spans="1:11" ht="45" customHeight="1">
      <c r="A1860" s="30">
        <v>105</v>
      </c>
      <c r="B1860" s="45" t="s">
        <v>797</v>
      </c>
      <c r="C1860" s="45" t="s">
        <v>38</v>
      </c>
      <c r="D1860" s="46"/>
      <c r="E1860" s="47">
        <v>29758</v>
      </c>
      <c r="F1860" s="48">
        <v>7</v>
      </c>
      <c r="G1860" s="45" t="s">
        <v>2754</v>
      </c>
      <c r="H1860" s="30" t="s">
        <v>1635</v>
      </c>
      <c r="I1860" s="45" t="s">
        <v>92</v>
      </c>
      <c r="J1860" s="45" t="s">
        <v>2753</v>
      </c>
      <c r="K1860" s="50" t="s">
        <v>3263</v>
      </c>
    </row>
    <row r="1861" spans="1:11" ht="45" customHeight="1">
      <c r="A1861" s="30">
        <v>105</v>
      </c>
      <c r="B1861" s="45" t="s">
        <v>797</v>
      </c>
      <c r="C1861" s="45" t="s">
        <v>38</v>
      </c>
      <c r="D1861" s="46"/>
      <c r="E1861" s="47">
        <v>18380</v>
      </c>
      <c r="F1861" s="48">
        <v>7</v>
      </c>
      <c r="G1861" s="45" t="s">
        <v>2755</v>
      </c>
      <c r="H1861" s="30" t="s">
        <v>2756</v>
      </c>
      <c r="I1861" s="45" t="s">
        <v>92</v>
      </c>
      <c r="J1861" s="45" t="s">
        <v>2757</v>
      </c>
      <c r="K1861" s="50" t="s">
        <v>3264</v>
      </c>
    </row>
    <row r="1862" spans="1:11" ht="45" customHeight="1">
      <c r="A1862" s="30">
        <v>105</v>
      </c>
      <c r="B1862" s="45" t="s">
        <v>797</v>
      </c>
      <c r="C1862" s="45" t="s">
        <v>38</v>
      </c>
      <c r="D1862" s="46"/>
      <c r="E1862" s="47">
        <v>27101</v>
      </c>
      <c r="F1862" s="48">
        <v>7</v>
      </c>
      <c r="G1862" s="45" t="s">
        <v>2758</v>
      </c>
      <c r="H1862" s="30" t="s">
        <v>1078</v>
      </c>
      <c r="I1862" s="45" t="s">
        <v>92</v>
      </c>
      <c r="J1862" s="45" t="s">
        <v>2759</v>
      </c>
      <c r="K1862" s="50" t="s">
        <v>3265</v>
      </c>
    </row>
    <row r="1863" spans="1:11" ht="45" customHeight="1">
      <c r="A1863" s="30">
        <v>105</v>
      </c>
      <c r="B1863" s="45" t="s">
        <v>797</v>
      </c>
      <c r="C1863" s="45" t="s">
        <v>38</v>
      </c>
      <c r="D1863" s="46"/>
      <c r="E1863" s="47">
        <v>22696</v>
      </c>
      <c r="F1863" s="48">
        <v>7</v>
      </c>
      <c r="G1863" s="45" t="s">
        <v>2760</v>
      </c>
      <c r="H1863" s="30" t="s">
        <v>2761</v>
      </c>
      <c r="I1863" s="45" t="s">
        <v>92</v>
      </c>
      <c r="J1863" s="45" t="s">
        <v>2762</v>
      </c>
      <c r="K1863" s="50" t="str">
        <f>"00029424"</f>
        <v>00029424</v>
      </c>
    </row>
    <row r="1864" spans="1:11" ht="45" customHeight="1">
      <c r="A1864" s="30">
        <v>105</v>
      </c>
      <c r="B1864" s="45" t="s">
        <v>797</v>
      </c>
      <c r="C1864" s="45" t="s">
        <v>38</v>
      </c>
      <c r="D1864" s="46"/>
      <c r="E1864" s="47">
        <v>37270</v>
      </c>
      <c r="F1864" s="48">
        <v>7</v>
      </c>
      <c r="G1864" s="45" t="s">
        <v>2763</v>
      </c>
      <c r="H1864" s="30" t="s">
        <v>2764</v>
      </c>
      <c r="I1864" s="45" t="s">
        <v>92</v>
      </c>
      <c r="J1864" s="76" t="s">
        <v>2765</v>
      </c>
      <c r="K1864" s="50" t="str">
        <f>"00029189"</f>
        <v>00029189</v>
      </c>
    </row>
    <row r="1865" spans="1:11" ht="45" customHeight="1">
      <c r="A1865" s="30">
        <v>105</v>
      </c>
      <c r="B1865" s="45" t="s">
        <v>797</v>
      </c>
      <c r="C1865" s="45" t="s">
        <v>38</v>
      </c>
      <c r="D1865" s="46"/>
      <c r="E1865" s="47">
        <v>45513</v>
      </c>
      <c r="F1865" s="48">
        <v>7</v>
      </c>
      <c r="G1865" s="45" t="s">
        <v>2766</v>
      </c>
      <c r="H1865" s="30" t="s">
        <v>2767</v>
      </c>
      <c r="I1865" s="45" t="s">
        <v>92</v>
      </c>
      <c r="J1865" s="45" t="s">
        <v>2768</v>
      </c>
      <c r="K1865" s="54" t="s">
        <v>3266</v>
      </c>
    </row>
    <row r="1866" spans="1:11" ht="45" customHeight="1">
      <c r="A1866" s="30">
        <v>105</v>
      </c>
      <c r="B1866" s="45" t="s">
        <v>797</v>
      </c>
      <c r="C1866" s="45" t="s">
        <v>38</v>
      </c>
      <c r="D1866" s="46"/>
      <c r="E1866" s="47">
        <v>63782</v>
      </c>
      <c r="F1866" s="48">
        <v>7</v>
      </c>
      <c r="G1866" s="45" t="s">
        <v>2769</v>
      </c>
      <c r="H1866" s="30" t="s">
        <v>2574</v>
      </c>
      <c r="I1866" s="45" t="s">
        <v>92</v>
      </c>
      <c r="J1866" s="45" t="s">
        <v>2770</v>
      </c>
      <c r="K1866" s="50" t="str">
        <f>"00031935"</f>
        <v>00031935</v>
      </c>
    </row>
    <row r="1867" spans="1:11" ht="45" customHeight="1">
      <c r="A1867" s="30">
        <v>105</v>
      </c>
      <c r="B1867" s="45" t="s">
        <v>797</v>
      </c>
      <c r="C1867" s="45" t="s">
        <v>38</v>
      </c>
      <c r="D1867" s="46"/>
      <c r="E1867" s="47">
        <v>31501</v>
      </c>
      <c r="F1867" s="48">
        <v>7</v>
      </c>
      <c r="G1867" s="45" t="s">
        <v>2771</v>
      </c>
      <c r="H1867" s="30" t="s">
        <v>2772</v>
      </c>
      <c r="I1867" s="45" t="s">
        <v>92</v>
      </c>
      <c r="J1867" s="51" t="s">
        <v>2773</v>
      </c>
      <c r="K1867" s="54" t="s">
        <v>3267</v>
      </c>
    </row>
    <row r="1868" spans="1:11" ht="45" customHeight="1">
      <c r="A1868" s="30">
        <v>105</v>
      </c>
      <c r="B1868" s="45" t="s">
        <v>797</v>
      </c>
      <c r="C1868" s="45" t="s">
        <v>38</v>
      </c>
      <c r="D1868" s="46"/>
      <c r="E1868" s="47">
        <v>29532</v>
      </c>
      <c r="F1868" s="48">
        <v>7</v>
      </c>
      <c r="G1868" s="45" t="s">
        <v>2733</v>
      </c>
      <c r="H1868" s="30" t="s">
        <v>2774</v>
      </c>
      <c r="I1868" s="45" t="s">
        <v>92</v>
      </c>
      <c r="J1868" s="45" t="s">
        <v>2748</v>
      </c>
      <c r="K1868" s="50" t="str">
        <f>"00032506"</f>
        <v>00032506</v>
      </c>
    </row>
    <row r="1869" spans="1:11" ht="45" customHeight="1">
      <c r="A1869" s="30">
        <v>105</v>
      </c>
      <c r="B1869" s="45" t="s">
        <v>0</v>
      </c>
      <c r="C1869" s="45" t="s">
        <v>38</v>
      </c>
      <c r="D1869" s="46">
        <v>320000</v>
      </c>
      <c r="E1869" s="47"/>
      <c r="F1869" s="48">
        <v>8</v>
      </c>
      <c r="G1869" s="45" t="s">
        <v>566</v>
      </c>
      <c r="H1869" s="30"/>
      <c r="I1869" s="45" t="s">
        <v>44</v>
      </c>
      <c r="J1869" s="45"/>
      <c r="K1869" s="50" t="str">
        <f>"　"</f>
        <v>　</v>
      </c>
    </row>
    <row r="1870" spans="1:11" ht="45" customHeight="1">
      <c r="A1870" s="30">
        <v>105</v>
      </c>
      <c r="B1870" s="45" t="s">
        <v>32</v>
      </c>
      <c r="C1870" s="45" t="s">
        <v>38</v>
      </c>
      <c r="D1870" s="46"/>
      <c r="E1870" s="47">
        <v>39463</v>
      </c>
      <c r="F1870" s="48">
        <v>8</v>
      </c>
      <c r="G1870" s="45" t="s">
        <v>2775</v>
      </c>
      <c r="H1870" s="30" t="s">
        <v>2776</v>
      </c>
      <c r="I1870" s="45" t="s">
        <v>92</v>
      </c>
      <c r="J1870" s="45" t="s">
        <v>595</v>
      </c>
      <c r="K1870" s="50" t="str">
        <f>"00028688"</f>
        <v>00028688</v>
      </c>
    </row>
    <row r="1871" spans="1:11" ht="45" customHeight="1">
      <c r="A1871" s="30">
        <v>105</v>
      </c>
      <c r="B1871" s="45" t="s">
        <v>32</v>
      </c>
      <c r="C1871" s="45" t="s">
        <v>38</v>
      </c>
      <c r="D1871" s="46"/>
      <c r="E1871" s="47">
        <v>39463</v>
      </c>
      <c r="F1871" s="48">
        <v>8</v>
      </c>
      <c r="G1871" s="45" t="s">
        <v>2775</v>
      </c>
      <c r="H1871" s="30" t="s">
        <v>2776</v>
      </c>
      <c r="I1871" s="45" t="s">
        <v>92</v>
      </c>
      <c r="J1871" s="45" t="s">
        <v>595</v>
      </c>
      <c r="K1871" s="50" t="str">
        <f>"00028690"</f>
        <v>00028690</v>
      </c>
    </row>
    <row r="1872" spans="1:11" ht="45" customHeight="1">
      <c r="A1872" s="30">
        <v>105</v>
      </c>
      <c r="B1872" s="45" t="s">
        <v>32</v>
      </c>
      <c r="C1872" s="45" t="s">
        <v>38</v>
      </c>
      <c r="D1872" s="46"/>
      <c r="E1872" s="47">
        <v>41907</v>
      </c>
      <c r="F1872" s="48">
        <v>8</v>
      </c>
      <c r="G1872" s="45" t="s">
        <v>2721</v>
      </c>
      <c r="H1872" s="30" t="s">
        <v>2777</v>
      </c>
      <c r="I1872" s="45" t="s">
        <v>100</v>
      </c>
      <c r="J1872" s="45" t="s">
        <v>39</v>
      </c>
      <c r="K1872" s="50" t="str">
        <f>"00028925"</f>
        <v>00028925</v>
      </c>
    </row>
    <row r="1873" spans="1:11" ht="45" customHeight="1">
      <c r="A1873" s="30">
        <v>105</v>
      </c>
      <c r="B1873" s="45" t="s">
        <v>32</v>
      </c>
      <c r="C1873" s="45" t="s">
        <v>38</v>
      </c>
      <c r="D1873" s="46"/>
      <c r="E1873" s="47">
        <v>25472</v>
      </c>
      <c r="F1873" s="48">
        <v>8</v>
      </c>
      <c r="G1873" s="45" t="s">
        <v>2775</v>
      </c>
      <c r="H1873" s="30" t="s">
        <v>2778</v>
      </c>
      <c r="I1873" s="45" t="s">
        <v>92</v>
      </c>
      <c r="J1873" s="45" t="s">
        <v>595</v>
      </c>
      <c r="K1873" s="50" t="str">
        <f>"00028691"</f>
        <v>00028691</v>
      </c>
    </row>
    <row r="1874" spans="1:11" ht="45" customHeight="1">
      <c r="A1874" s="30">
        <v>105</v>
      </c>
      <c r="B1874" s="45" t="s">
        <v>32</v>
      </c>
      <c r="C1874" s="45" t="s">
        <v>38</v>
      </c>
      <c r="D1874" s="46"/>
      <c r="E1874" s="47">
        <v>41907</v>
      </c>
      <c r="F1874" s="48">
        <v>8</v>
      </c>
      <c r="G1874" s="45" t="s">
        <v>2721</v>
      </c>
      <c r="H1874" s="30" t="s">
        <v>2777</v>
      </c>
      <c r="I1874" s="45" t="s">
        <v>100</v>
      </c>
      <c r="J1874" s="45" t="s">
        <v>39</v>
      </c>
      <c r="K1874" s="50" t="str">
        <f>"00028866"</f>
        <v>00028866</v>
      </c>
    </row>
    <row r="1875" spans="1:11" ht="45" customHeight="1">
      <c r="A1875" s="30">
        <v>105</v>
      </c>
      <c r="B1875" s="45" t="s">
        <v>32</v>
      </c>
      <c r="C1875" s="45" t="s">
        <v>38</v>
      </c>
      <c r="D1875" s="46"/>
      <c r="E1875" s="47">
        <v>46369</v>
      </c>
      <c r="F1875" s="48">
        <v>8</v>
      </c>
      <c r="G1875" s="51" t="s">
        <v>2779</v>
      </c>
      <c r="H1875" s="30" t="s">
        <v>2777</v>
      </c>
      <c r="I1875" s="45" t="s">
        <v>100</v>
      </c>
      <c r="J1875" s="45" t="s">
        <v>39</v>
      </c>
      <c r="K1875" s="50" t="str">
        <f>"00028918"</f>
        <v>00028918</v>
      </c>
    </row>
    <row r="1876" spans="1:11" ht="45" customHeight="1">
      <c r="A1876" s="30">
        <v>105</v>
      </c>
      <c r="B1876" s="45" t="s">
        <v>32</v>
      </c>
      <c r="C1876" s="45" t="s">
        <v>38</v>
      </c>
      <c r="D1876" s="46"/>
      <c r="E1876" s="47">
        <v>41907</v>
      </c>
      <c r="F1876" s="48">
        <v>8</v>
      </c>
      <c r="G1876" s="51" t="s">
        <v>2779</v>
      </c>
      <c r="H1876" s="30" t="s">
        <v>2777</v>
      </c>
      <c r="I1876" s="45" t="s">
        <v>100</v>
      </c>
      <c r="J1876" s="45" t="s">
        <v>39</v>
      </c>
      <c r="K1876" s="50" t="str">
        <f>"00028926"</f>
        <v>00028926</v>
      </c>
    </row>
    <row r="1877" spans="1:11" ht="45" customHeight="1">
      <c r="A1877" s="30">
        <v>105</v>
      </c>
      <c r="B1877" s="45" t="s">
        <v>32</v>
      </c>
      <c r="C1877" s="45" t="s">
        <v>38</v>
      </c>
      <c r="D1877" s="46"/>
      <c r="E1877" s="47">
        <v>43257</v>
      </c>
      <c r="F1877" s="48">
        <v>8</v>
      </c>
      <c r="G1877" s="51" t="s">
        <v>2779</v>
      </c>
      <c r="H1877" s="30" t="s">
        <v>2777</v>
      </c>
      <c r="I1877" s="45" t="s">
        <v>100</v>
      </c>
      <c r="J1877" s="45" t="s">
        <v>39</v>
      </c>
      <c r="K1877" s="50" t="str">
        <f>"00028932"</f>
        <v>00028932</v>
      </c>
    </row>
    <row r="1878" spans="1:11" ht="45" customHeight="1">
      <c r="A1878" s="30">
        <v>105</v>
      </c>
      <c r="B1878" s="45" t="s">
        <v>32</v>
      </c>
      <c r="C1878" s="45" t="s">
        <v>38</v>
      </c>
      <c r="D1878" s="46"/>
      <c r="E1878" s="47">
        <v>43257</v>
      </c>
      <c r="F1878" s="48">
        <v>8</v>
      </c>
      <c r="G1878" s="45" t="s">
        <v>2780</v>
      </c>
      <c r="H1878" s="30" t="s">
        <v>2777</v>
      </c>
      <c r="I1878" s="45" t="s">
        <v>100</v>
      </c>
      <c r="J1878" s="45" t="s">
        <v>39</v>
      </c>
      <c r="K1878" s="50" t="str">
        <f>"00028849"</f>
        <v>00028849</v>
      </c>
    </row>
    <row r="1879" spans="1:11" ht="45" customHeight="1">
      <c r="A1879" s="30">
        <v>105</v>
      </c>
      <c r="B1879" s="45" t="s">
        <v>186</v>
      </c>
      <c r="C1879" s="45" t="s">
        <v>38</v>
      </c>
      <c r="D1879" s="46">
        <v>1263000</v>
      </c>
      <c r="E1879" s="47"/>
      <c r="F1879" s="48">
        <v>8</v>
      </c>
      <c r="G1879" s="45" t="s">
        <v>783</v>
      </c>
      <c r="H1879" s="30"/>
      <c r="I1879" s="45" t="s">
        <v>45</v>
      </c>
      <c r="J1879" s="45"/>
      <c r="K1879" s="50" t="str">
        <f>"　"</f>
        <v>　</v>
      </c>
    </row>
    <row r="1880" spans="1:11" ht="45" customHeight="1">
      <c r="A1880" s="159" t="s">
        <v>87</v>
      </c>
      <c r="B1880" s="159"/>
      <c r="C1880" s="159"/>
      <c r="D1880" s="112">
        <f>SUM(D7:D1879)</f>
        <v>128479000</v>
      </c>
      <c r="E1880" s="113">
        <v>123841354</v>
      </c>
      <c r="F1880" s="37"/>
      <c r="G1880" s="114"/>
      <c r="H1880" s="37"/>
      <c r="I1880" s="114"/>
      <c r="J1880" s="114"/>
      <c r="K1880" s="93"/>
    </row>
    <row r="1881" spans="1:11" ht="45" customHeight="1">
      <c r="A1881" s="38"/>
      <c r="B1881" s="15"/>
      <c r="C1881" s="15"/>
      <c r="D1881" s="115"/>
      <c r="E1881" s="15"/>
      <c r="F1881" s="116"/>
      <c r="G1881" s="15"/>
      <c r="H1881" s="38"/>
      <c r="I1881" s="15"/>
      <c r="J1881" s="15"/>
      <c r="K1881" s="117"/>
    </row>
    <row r="1882" spans="1:11" ht="45" customHeight="1">
      <c r="A1882" s="38"/>
      <c r="B1882" s="15"/>
      <c r="C1882" s="15"/>
      <c r="D1882" s="115"/>
      <c r="E1882" s="15"/>
      <c r="F1882" s="116"/>
      <c r="G1882" s="118"/>
      <c r="H1882" s="38"/>
      <c r="I1882" s="15"/>
      <c r="J1882" s="15"/>
      <c r="K1882" s="117"/>
    </row>
    <row r="1883" spans="1:11" ht="45" customHeight="1">
      <c r="A1883" s="38"/>
      <c r="B1883" s="119"/>
      <c r="C1883" s="119"/>
      <c r="D1883" s="119"/>
      <c r="E1883" s="119"/>
      <c r="F1883" s="119"/>
      <c r="G1883" s="120"/>
      <c r="H1883" s="121"/>
      <c r="I1883" s="121"/>
      <c r="J1883" s="121"/>
      <c r="K1883" s="117"/>
    </row>
  </sheetData>
  <sheetProtection/>
  <mergeCells count="15">
    <mergeCell ref="A1249:B1249"/>
    <mergeCell ref="A1256:B1256"/>
    <mergeCell ref="A1880:C1880"/>
    <mergeCell ref="K4:K5"/>
    <mergeCell ref="A6:B6"/>
    <mergeCell ref="A1217:B1217"/>
    <mergeCell ref="A1222:B1222"/>
    <mergeCell ref="A1:K1"/>
    <mergeCell ref="A2:K2"/>
    <mergeCell ref="A3:J3"/>
    <mergeCell ref="A4:E4"/>
    <mergeCell ref="F4:F5"/>
    <mergeCell ref="G4:G5"/>
    <mergeCell ref="H4:H5"/>
    <mergeCell ref="I4:J4"/>
  </mergeCells>
  <printOptions horizontalCentered="1"/>
  <pageMargins left="0.2755905511811024" right="0" top="0.2755905511811024" bottom="0.5905511811023623" header="0.15748031496062992" footer="0.2362204724409449"/>
  <pageSetup horizontalDpi="600" verticalDpi="600" orientation="landscape" paperSize="9" scale="70" r:id="rId1"/>
  <headerFooter>
    <oddFooter>&amp;C&amp;P</oddFooter>
  </headerFooter>
  <ignoredErrors>
    <ignoredError sqref="K259" formula="1"/>
    <ignoredError sqref="K1828 K817 K819:K823 K825:K831 K856:K859 K860:K862 K863:K870 K871:K873 K874:K882 K999 K1115:K1116 K1118:K1121 K1123:K1126 K1132 K1143 K1149:K1153 K1156:K1161 K1740:K1745" numberStoredAsText="1"/>
  </ignoredErrors>
</worksheet>
</file>

<file path=xl/worksheets/sheet2.xml><?xml version="1.0" encoding="utf-8"?>
<worksheet xmlns="http://schemas.openxmlformats.org/spreadsheetml/2006/main" xmlns:r="http://schemas.openxmlformats.org/officeDocument/2006/relationships">
  <sheetPr>
    <tabColor rgb="FFFF0000"/>
  </sheetPr>
  <dimension ref="A1:K657"/>
  <sheetViews>
    <sheetView view="pageLayout" workbookViewId="0" topLeftCell="A157">
      <selection activeCell="A1" sqref="A1:K453"/>
    </sheetView>
  </sheetViews>
  <sheetFormatPr defaultColWidth="9.00390625" defaultRowHeight="45" customHeight="1"/>
  <cols>
    <col min="1" max="1" width="4.75390625" style="38" customWidth="1"/>
    <col min="2" max="2" width="29.75390625" style="15" customWidth="1"/>
    <col min="3" max="3" width="8.75390625" style="15" customWidth="1"/>
    <col min="4" max="5" width="10.75390625" style="15" customWidth="1"/>
    <col min="6" max="6" width="4.75390625" style="38" customWidth="1"/>
    <col min="7" max="7" width="34.75390625" style="15" customWidth="1"/>
    <col min="8" max="8" width="8.75390625" style="15" customWidth="1"/>
    <col min="9" max="10" width="10.75390625" style="15" customWidth="1"/>
    <col min="11" max="11" width="12.125" style="15" customWidth="1"/>
    <col min="12" max="16384" width="8.875" style="15" customWidth="1"/>
  </cols>
  <sheetData>
    <row r="1" spans="1:11" s="122" customFormat="1" ht="19.5" customHeight="1">
      <c r="A1" s="152" t="s">
        <v>85</v>
      </c>
      <c r="B1" s="152"/>
      <c r="C1" s="152"/>
      <c r="D1" s="152"/>
      <c r="E1" s="152"/>
      <c r="F1" s="152"/>
      <c r="G1" s="152"/>
      <c r="H1" s="152"/>
      <c r="I1" s="152"/>
      <c r="J1" s="152"/>
      <c r="K1" s="152"/>
    </row>
    <row r="2" spans="1:11" s="122" customFormat="1" ht="19.5" customHeight="1">
      <c r="A2" s="152" t="s">
        <v>83</v>
      </c>
      <c r="B2" s="152"/>
      <c r="C2" s="152"/>
      <c r="D2" s="152"/>
      <c r="E2" s="152"/>
      <c r="F2" s="152"/>
      <c r="G2" s="152"/>
      <c r="H2" s="152"/>
      <c r="I2" s="152"/>
      <c r="J2" s="152"/>
      <c r="K2" s="152"/>
    </row>
    <row r="3" spans="1:11" s="122" customFormat="1" ht="19.5" customHeight="1">
      <c r="A3" s="153" t="s">
        <v>782</v>
      </c>
      <c r="B3" s="154"/>
      <c r="C3" s="154"/>
      <c r="D3" s="154"/>
      <c r="E3" s="154"/>
      <c r="F3" s="154"/>
      <c r="G3" s="154"/>
      <c r="H3" s="154"/>
      <c r="I3" s="154"/>
      <c r="J3" s="154"/>
      <c r="K3" s="160"/>
    </row>
    <row r="4" spans="1:11" s="122" customFormat="1" ht="45" customHeight="1">
      <c r="A4" s="155" t="s">
        <v>70</v>
      </c>
      <c r="B4" s="155"/>
      <c r="C4" s="155"/>
      <c r="D4" s="155"/>
      <c r="E4" s="155"/>
      <c r="F4" s="156" t="s">
        <v>71</v>
      </c>
      <c r="G4" s="156" t="s">
        <v>72</v>
      </c>
      <c r="H4" s="156" t="s">
        <v>73</v>
      </c>
      <c r="I4" s="145" t="s">
        <v>74</v>
      </c>
      <c r="J4" s="145"/>
      <c r="K4" s="156" t="s">
        <v>75</v>
      </c>
    </row>
    <row r="5" spans="1:11" s="122" customFormat="1" ht="45" customHeight="1">
      <c r="A5" s="39" t="s">
        <v>76</v>
      </c>
      <c r="B5" s="41" t="s">
        <v>77</v>
      </c>
      <c r="C5" s="39" t="s">
        <v>78</v>
      </c>
      <c r="D5" s="39" t="s">
        <v>79</v>
      </c>
      <c r="E5" s="39" t="s">
        <v>80</v>
      </c>
      <c r="F5" s="156"/>
      <c r="G5" s="156"/>
      <c r="H5" s="156"/>
      <c r="I5" s="123" t="s">
        <v>84</v>
      </c>
      <c r="J5" s="39" t="s">
        <v>82</v>
      </c>
      <c r="K5" s="156"/>
    </row>
    <row r="6" spans="1:11" s="122" customFormat="1" ht="45" customHeight="1">
      <c r="A6" s="158" t="s">
        <v>65</v>
      </c>
      <c r="B6" s="158"/>
      <c r="C6" s="42"/>
      <c r="D6" s="42"/>
      <c r="E6" s="42"/>
      <c r="F6" s="29"/>
      <c r="G6" s="42"/>
      <c r="H6" s="42"/>
      <c r="I6" s="42"/>
      <c r="J6" s="42"/>
      <c r="K6" s="42"/>
    </row>
    <row r="7" spans="1:11" ht="45" customHeight="1">
      <c r="A7" s="30">
        <v>105</v>
      </c>
      <c r="B7" s="45" t="s">
        <v>0</v>
      </c>
      <c r="C7" s="45" t="s">
        <v>1</v>
      </c>
      <c r="D7" s="46">
        <v>4109000</v>
      </c>
      <c r="E7" s="47"/>
      <c r="F7" s="48">
        <v>4</v>
      </c>
      <c r="G7" s="45" t="s">
        <v>5495</v>
      </c>
      <c r="H7" s="30"/>
      <c r="I7" s="45" t="s">
        <v>2781</v>
      </c>
      <c r="J7" s="45"/>
      <c r="K7" s="50" t="str">
        <f>"　"</f>
        <v>　</v>
      </c>
    </row>
    <row r="8" spans="1:11" ht="45" customHeight="1">
      <c r="A8" s="30"/>
      <c r="B8" s="56" t="s">
        <v>2</v>
      </c>
      <c r="C8" s="45"/>
      <c r="D8" s="45"/>
      <c r="E8" s="45"/>
      <c r="F8" s="30"/>
      <c r="G8" s="45"/>
      <c r="H8" s="45"/>
      <c r="I8" s="45"/>
      <c r="J8" s="45"/>
      <c r="K8" s="98"/>
    </row>
    <row r="9" spans="1:11" ht="45" customHeight="1">
      <c r="A9" s="30">
        <v>105</v>
      </c>
      <c r="B9" s="45" t="s">
        <v>2788</v>
      </c>
      <c r="C9" s="45" t="s">
        <v>1</v>
      </c>
      <c r="D9" s="45"/>
      <c r="E9" s="47">
        <v>37634</v>
      </c>
      <c r="F9" s="30">
        <v>4</v>
      </c>
      <c r="G9" s="45" t="s">
        <v>2789</v>
      </c>
      <c r="H9" s="45" t="s">
        <v>2790</v>
      </c>
      <c r="I9" s="45" t="s">
        <v>2791</v>
      </c>
      <c r="J9" s="45" t="s">
        <v>135</v>
      </c>
      <c r="K9" s="45" t="str">
        <f>"00029265"</f>
        <v>00029265</v>
      </c>
    </row>
    <row r="10" spans="1:11" ht="45" customHeight="1">
      <c r="A10" s="30">
        <v>105</v>
      </c>
      <c r="B10" s="45" t="s">
        <v>2784</v>
      </c>
      <c r="C10" s="45" t="s">
        <v>1</v>
      </c>
      <c r="D10" s="45"/>
      <c r="E10" s="47">
        <v>48779</v>
      </c>
      <c r="F10" s="30">
        <v>4</v>
      </c>
      <c r="G10" s="45" t="s">
        <v>2785</v>
      </c>
      <c r="H10" s="45" t="s">
        <v>814</v>
      </c>
      <c r="I10" s="45" t="s">
        <v>2786</v>
      </c>
      <c r="J10" s="45" t="s">
        <v>2787</v>
      </c>
      <c r="K10" s="45" t="str">
        <f>"00030540"</f>
        <v>00030540</v>
      </c>
    </row>
    <row r="11" spans="1:11" ht="45" customHeight="1">
      <c r="A11" s="30">
        <v>105</v>
      </c>
      <c r="B11" s="45" t="s">
        <v>114</v>
      </c>
      <c r="C11" s="45" t="s">
        <v>1</v>
      </c>
      <c r="D11" s="45"/>
      <c r="E11" s="47">
        <v>285</v>
      </c>
      <c r="F11" s="30">
        <v>4</v>
      </c>
      <c r="G11" s="51" t="s">
        <v>4062</v>
      </c>
      <c r="H11" s="45" t="s">
        <v>4063</v>
      </c>
      <c r="I11" s="45" t="s">
        <v>3006</v>
      </c>
      <c r="J11" s="45" t="s">
        <v>3004</v>
      </c>
      <c r="K11" s="45" t="str">
        <f>"00032410"</f>
        <v>00032410</v>
      </c>
    </row>
    <row r="12" spans="1:11" ht="45" customHeight="1">
      <c r="A12" s="30">
        <v>105</v>
      </c>
      <c r="B12" s="45" t="s">
        <v>4064</v>
      </c>
      <c r="C12" s="45" t="s">
        <v>1</v>
      </c>
      <c r="D12" s="45"/>
      <c r="E12" s="47">
        <v>55607</v>
      </c>
      <c r="F12" s="30">
        <v>4</v>
      </c>
      <c r="G12" s="45" t="s">
        <v>4065</v>
      </c>
      <c r="H12" s="45" t="s">
        <v>2006</v>
      </c>
      <c r="I12" s="45" t="s">
        <v>196</v>
      </c>
      <c r="J12" s="45" t="s">
        <v>130</v>
      </c>
      <c r="K12" s="45" t="str">
        <f>"00028348"</f>
        <v>00028348</v>
      </c>
    </row>
    <row r="13" spans="1:11" ht="45" customHeight="1">
      <c r="A13" s="30">
        <v>105</v>
      </c>
      <c r="B13" s="45" t="s">
        <v>4066</v>
      </c>
      <c r="C13" s="45" t="s">
        <v>1</v>
      </c>
      <c r="D13" s="45"/>
      <c r="E13" s="47">
        <v>53180</v>
      </c>
      <c r="F13" s="30">
        <v>4</v>
      </c>
      <c r="G13" s="76" t="s">
        <v>4067</v>
      </c>
      <c r="H13" s="45" t="s">
        <v>4068</v>
      </c>
      <c r="I13" s="45" t="s">
        <v>196</v>
      </c>
      <c r="J13" s="45" t="s">
        <v>4069</v>
      </c>
      <c r="K13" s="45" t="str">
        <f>"00028884"</f>
        <v>00028884</v>
      </c>
    </row>
    <row r="14" spans="1:11" ht="45" customHeight="1">
      <c r="A14" s="30">
        <v>105</v>
      </c>
      <c r="B14" s="45" t="s">
        <v>4070</v>
      </c>
      <c r="C14" s="45" t="s">
        <v>1</v>
      </c>
      <c r="D14" s="45"/>
      <c r="E14" s="47">
        <v>62010</v>
      </c>
      <c r="F14" s="30">
        <v>4</v>
      </c>
      <c r="G14" s="45" t="s">
        <v>4071</v>
      </c>
      <c r="H14" s="45" t="s">
        <v>2006</v>
      </c>
      <c r="I14" s="45" t="s">
        <v>196</v>
      </c>
      <c r="J14" s="45" t="s">
        <v>130</v>
      </c>
      <c r="K14" s="45" t="str">
        <f>"00029532"</f>
        <v>00029532</v>
      </c>
    </row>
    <row r="15" spans="1:11" ht="45" customHeight="1">
      <c r="A15" s="30"/>
      <c r="B15" s="58" t="s">
        <v>105</v>
      </c>
      <c r="C15" s="45"/>
      <c r="D15" s="45"/>
      <c r="E15" s="47">
        <f>SUM(E9:E14)</f>
        <v>257495</v>
      </c>
      <c r="F15" s="30"/>
      <c r="G15" s="45"/>
      <c r="H15" s="45"/>
      <c r="I15" s="45"/>
      <c r="J15" s="45"/>
      <c r="K15" s="45"/>
    </row>
    <row r="16" spans="1:11" ht="45" customHeight="1">
      <c r="A16" s="124"/>
      <c r="B16" s="56" t="s">
        <v>210</v>
      </c>
      <c r="C16" s="45"/>
      <c r="D16" s="45"/>
      <c r="E16" s="47"/>
      <c r="F16" s="30"/>
      <c r="G16" s="45"/>
      <c r="H16" s="45"/>
      <c r="I16" s="45"/>
      <c r="J16" s="45"/>
      <c r="K16" s="45"/>
    </row>
    <row r="17" spans="1:11" ht="45" customHeight="1">
      <c r="A17" s="30">
        <v>105</v>
      </c>
      <c r="B17" s="45" t="s">
        <v>225</v>
      </c>
      <c r="C17" s="45" t="s">
        <v>1</v>
      </c>
      <c r="D17" s="45"/>
      <c r="E17" s="47">
        <v>37764</v>
      </c>
      <c r="F17" s="30">
        <v>4</v>
      </c>
      <c r="G17" s="45" t="s">
        <v>2808</v>
      </c>
      <c r="H17" s="45" t="s">
        <v>2809</v>
      </c>
      <c r="I17" s="45" t="s">
        <v>40</v>
      </c>
      <c r="J17" s="45" t="s">
        <v>125</v>
      </c>
      <c r="K17" s="76" t="s">
        <v>5897</v>
      </c>
    </row>
    <row r="18" spans="1:11" ht="45" customHeight="1">
      <c r="A18" s="30">
        <v>105</v>
      </c>
      <c r="B18" s="51" t="s">
        <v>212</v>
      </c>
      <c r="C18" s="45" t="s">
        <v>1</v>
      </c>
      <c r="D18" s="45"/>
      <c r="E18" s="47">
        <v>43613</v>
      </c>
      <c r="F18" s="30">
        <v>4</v>
      </c>
      <c r="G18" s="45" t="s">
        <v>2807</v>
      </c>
      <c r="H18" s="45" t="s">
        <v>1071</v>
      </c>
      <c r="I18" s="45" t="s">
        <v>42</v>
      </c>
      <c r="J18" s="45" t="s">
        <v>138</v>
      </c>
      <c r="K18" s="76" t="s">
        <v>5898</v>
      </c>
    </row>
    <row r="19" spans="1:11" ht="45" customHeight="1">
      <c r="A19" s="30">
        <v>105</v>
      </c>
      <c r="B19" s="45" t="s">
        <v>886</v>
      </c>
      <c r="C19" s="45" t="s">
        <v>1</v>
      </c>
      <c r="D19" s="45"/>
      <c r="E19" s="47">
        <v>53673</v>
      </c>
      <c r="F19" s="30">
        <v>4</v>
      </c>
      <c r="G19" s="45" t="s">
        <v>2804</v>
      </c>
      <c r="H19" s="45" t="s">
        <v>1674</v>
      </c>
      <c r="I19" s="45" t="s">
        <v>2805</v>
      </c>
      <c r="J19" s="51" t="s">
        <v>2806</v>
      </c>
      <c r="K19" s="45" t="str">
        <f>"00028382"</f>
        <v>00028382</v>
      </c>
    </row>
    <row r="20" spans="1:11" ht="45" customHeight="1">
      <c r="A20" s="30">
        <v>105</v>
      </c>
      <c r="B20" s="45" t="s">
        <v>237</v>
      </c>
      <c r="C20" s="45" t="s">
        <v>1</v>
      </c>
      <c r="D20" s="45"/>
      <c r="E20" s="47">
        <v>34996</v>
      </c>
      <c r="F20" s="30">
        <v>4</v>
      </c>
      <c r="G20" s="45" t="s">
        <v>5519</v>
      </c>
      <c r="H20" s="45" t="s">
        <v>1953</v>
      </c>
      <c r="I20" s="45" t="s">
        <v>2820</v>
      </c>
      <c r="J20" s="45" t="s">
        <v>2821</v>
      </c>
      <c r="K20" s="76" t="s">
        <v>5899</v>
      </c>
    </row>
    <row r="21" spans="1:11" ht="45" customHeight="1">
      <c r="A21" s="30">
        <v>105</v>
      </c>
      <c r="B21" s="45" t="s">
        <v>237</v>
      </c>
      <c r="C21" s="45" t="s">
        <v>1</v>
      </c>
      <c r="D21" s="45"/>
      <c r="E21" s="47">
        <v>34689</v>
      </c>
      <c r="F21" s="30">
        <v>4</v>
      </c>
      <c r="G21" s="45" t="s">
        <v>5520</v>
      </c>
      <c r="H21" s="45" t="s">
        <v>1953</v>
      </c>
      <c r="I21" s="45" t="s">
        <v>2820</v>
      </c>
      <c r="J21" s="45" t="s">
        <v>2821</v>
      </c>
      <c r="K21" s="76" t="s">
        <v>5900</v>
      </c>
    </row>
    <row r="22" spans="1:11" ht="45" customHeight="1">
      <c r="A22" s="30">
        <v>105</v>
      </c>
      <c r="B22" s="51" t="s">
        <v>229</v>
      </c>
      <c r="C22" s="45" t="s">
        <v>1</v>
      </c>
      <c r="D22" s="45"/>
      <c r="E22" s="47">
        <v>40000</v>
      </c>
      <c r="F22" s="30">
        <v>4</v>
      </c>
      <c r="G22" s="45" t="s">
        <v>2812</v>
      </c>
      <c r="H22" s="45" t="s">
        <v>2813</v>
      </c>
      <c r="I22" s="45" t="s">
        <v>129</v>
      </c>
      <c r="J22" s="45" t="s">
        <v>128</v>
      </c>
      <c r="K22" s="45" t="str">
        <f>"00028939"</f>
        <v>00028939</v>
      </c>
    </row>
    <row r="23" spans="1:11" ht="45" customHeight="1">
      <c r="A23" s="30">
        <v>105</v>
      </c>
      <c r="B23" s="51" t="s">
        <v>229</v>
      </c>
      <c r="C23" s="45" t="s">
        <v>1</v>
      </c>
      <c r="D23" s="45"/>
      <c r="E23" s="47">
        <v>30583</v>
      </c>
      <c r="F23" s="30">
        <v>4</v>
      </c>
      <c r="G23" s="51" t="s">
        <v>2810</v>
      </c>
      <c r="H23" s="45" t="s">
        <v>2811</v>
      </c>
      <c r="I23" s="45" t="s">
        <v>40</v>
      </c>
      <c r="J23" s="45" t="s">
        <v>125</v>
      </c>
      <c r="K23" s="45" t="str">
        <f>"00026956"</f>
        <v>00026956</v>
      </c>
    </row>
    <row r="24" spans="1:11" ht="45" customHeight="1">
      <c r="A24" s="30">
        <v>105</v>
      </c>
      <c r="B24" s="51" t="s">
        <v>229</v>
      </c>
      <c r="C24" s="45" t="s">
        <v>1</v>
      </c>
      <c r="D24" s="45"/>
      <c r="E24" s="47">
        <v>40000</v>
      </c>
      <c r="F24" s="30">
        <v>4</v>
      </c>
      <c r="G24" s="45" t="s">
        <v>2814</v>
      </c>
      <c r="H24" s="45" t="s">
        <v>2813</v>
      </c>
      <c r="I24" s="45" t="s">
        <v>129</v>
      </c>
      <c r="J24" s="45" t="s">
        <v>128</v>
      </c>
      <c r="K24" s="45" t="str">
        <f>"00028626"</f>
        <v>00028626</v>
      </c>
    </row>
    <row r="25" spans="1:11" ht="45" customHeight="1">
      <c r="A25" s="30">
        <v>105</v>
      </c>
      <c r="B25" s="45" t="s">
        <v>930</v>
      </c>
      <c r="C25" s="45" t="s">
        <v>1</v>
      </c>
      <c r="D25" s="45"/>
      <c r="E25" s="47">
        <v>53639</v>
      </c>
      <c r="F25" s="30">
        <v>4</v>
      </c>
      <c r="G25" s="45" t="s">
        <v>2824</v>
      </c>
      <c r="H25" s="45" t="s">
        <v>2813</v>
      </c>
      <c r="I25" s="45" t="s">
        <v>129</v>
      </c>
      <c r="J25" s="45" t="s">
        <v>128</v>
      </c>
      <c r="K25" s="45" t="str">
        <f>"00028592"</f>
        <v>00028592</v>
      </c>
    </row>
    <row r="26" spans="1:11" ht="45" customHeight="1">
      <c r="A26" s="30">
        <v>105</v>
      </c>
      <c r="B26" s="45" t="s">
        <v>2792</v>
      </c>
      <c r="C26" s="45" t="s">
        <v>1</v>
      </c>
      <c r="D26" s="45"/>
      <c r="E26" s="47">
        <v>58741</v>
      </c>
      <c r="F26" s="30">
        <v>4</v>
      </c>
      <c r="G26" s="45" t="s">
        <v>2826</v>
      </c>
      <c r="H26" s="45" t="s">
        <v>2813</v>
      </c>
      <c r="I26" s="45" t="s">
        <v>129</v>
      </c>
      <c r="J26" s="45" t="s">
        <v>128</v>
      </c>
      <c r="K26" s="45" t="str">
        <f>"00028589"</f>
        <v>00028589</v>
      </c>
    </row>
    <row r="27" spans="1:11" ht="45" customHeight="1">
      <c r="A27" s="30">
        <v>105</v>
      </c>
      <c r="B27" s="45" t="s">
        <v>2792</v>
      </c>
      <c r="C27" s="45" t="s">
        <v>1</v>
      </c>
      <c r="D27" s="45"/>
      <c r="E27" s="47">
        <v>57555</v>
      </c>
      <c r="F27" s="30">
        <v>4</v>
      </c>
      <c r="G27" s="45" t="s">
        <v>2828</v>
      </c>
      <c r="H27" s="45" t="s">
        <v>2829</v>
      </c>
      <c r="I27" s="45" t="s">
        <v>129</v>
      </c>
      <c r="J27" s="45" t="s">
        <v>128</v>
      </c>
      <c r="K27" s="45" t="str">
        <f>"00028598"</f>
        <v>00028598</v>
      </c>
    </row>
    <row r="28" spans="1:11" ht="45" customHeight="1">
      <c r="A28" s="30">
        <v>105</v>
      </c>
      <c r="B28" s="45" t="s">
        <v>2792</v>
      </c>
      <c r="C28" s="45" t="s">
        <v>1</v>
      </c>
      <c r="D28" s="45"/>
      <c r="E28" s="47">
        <v>42638</v>
      </c>
      <c r="F28" s="30">
        <v>4</v>
      </c>
      <c r="G28" s="45" t="s">
        <v>2825</v>
      </c>
      <c r="H28" s="45" t="s">
        <v>2813</v>
      </c>
      <c r="I28" s="45" t="s">
        <v>129</v>
      </c>
      <c r="J28" s="45" t="s">
        <v>128</v>
      </c>
      <c r="K28" s="45" t="str">
        <f>"00028595"</f>
        <v>00028595</v>
      </c>
    </row>
    <row r="29" spans="1:11" ht="45" customHeight="1">
      <c r="A29" s="30">
        <v>105</v>
      </c>
      <c r="B29" s="45" t="s">
        <v>2792</v>
      </c>
      <c r="C29" s="45" t="s">
        <v>1</v>
      </c>
      <c r="D29" s="45"/>
      <c r="E29" s="47">
        <v>44971</v>
      </c>
      <c r="F29" s="30">
        <v>4</v>
      </c>
      <c r="G29" s="45" t="s">
        <v>2822</v>
      </c>
      <c r="H29" s="45" t="s">
        <v>2823</v>
      </c>
      <c r="I29" s="45" t="s">
        <v>129</v>
      </c>
      <c r="J29" s="45" t="s">
        <v>128</v>
      </c>
      <c r="K29" s="45" t="str">
        <f>"00028597"</f>
        <v>00028597</v>
      </c>
    </row>
    <row r="30" spans="1:11" ht="45" customHeight="1">
      <c r="A30" s="30">
        <v>105</v>
      </c>
      <c r="B30" s="45" t="s">
        <v>2792</v>
      </c>
      <c r="C30" s="45" t="s">
        <v>1</v>
      </c>
      <c r="D30" s="45"/>
      <c r="E30" s="47">
        <v>65683</v>
      </c>
      <c r="F30" s="30">
        <v>4</v>
      </c>
      <c r="G30" s="49" t="s">
        <v>2830</v>
      </c>
      <c r="H30" s="45" t="s">
        <v>2813</v>
      </c>
      <c r="I30" s="45" t="s">
        <v>129</v>
      </c>
      <c r="J30" s="45" t="s">
        <v>128</v>
      </c>
      <c r="K30" s="45" t="str">
        <f>"00028596"</f>
        <v>00028596</v>
      </c>
    </row>
    <row r="31" spans="1:11" ht="45" customHeight="1">
      <c r="A31" s="30">
        <v>105</v>
      </c>
      <c r="B31" s="45" t="s">
        <v>930</v>
      </c>
      <c r="C31" s="45" t="s">
        <v>1</v>
      </c>
      <c r="D31" s="45"/>
      <c r="E31" s="47">
        <v>43935</v>
      </c>
      <c r="F31" s="30">
        <v>4</v>
      </c>
      <c r="G31" s="45" t="s">
        <v>2827</v>
      </c>
      <c r="H31" s="45" t="s">
        <v>2813</v>
      </c>
      <c r="I31" s="45" t="s">
        <v>129</v>
      </c>
      <c r="J31" s="45" t="s">
        <v>128</v>
      </c>
      <c r="K31" s="45" t="str">
        <f>"00028593"</f>
        <v>00028593</v>
      </c>
    </row>
    <row r="32" spans="1:11" ht="45" customHeight="1">
      <c r="A32" s="30">
        <v>105</v>
      </c>
      <c r="B32" s="45" t="s">
        <v>930</v>
      </c>
      <c r="C32" s="45" t="s">
        <v>1</v>
      </c>
      <c r="D32" s="45"/>
      <c r="E32" s="47">
        <v>75363</v>
      </c>
      <c r="F32" s="30">
        <v>4</v>
      </c>
      <c r="G32" s="45" t="s">
        <v>2796</v>
      </c>
      <c r="H32" s="45" t="s">
        <v>1183</v>
      </c>
      <c r="I32" s="45" t="s">
        <v>129</v>
      </c>
      <c r="J32" s="45" t="s">
        <v>128</v>
      </c>
      <c r="K32" s="45" t="str">
        <f>"00028550"</f>
        <v>00028550</v>
      </c>
    </row>
    <row r="33" spans="1:11" ht="45" customHeight="1">
      <c r="A33" s="30">
        <v>105</v>
      </c>
      <c r="B33" s="45" t="s">
        <v>2792</v>
      </c>
      <c r="C33" s="45" t="s">
        <v>1</v>
      </c>
      <c r="D33" s="45"/>
      <c r="E33" s="47">
        <v>57488</v>
      </c>
      <c r="F33" s="30">
        <v>4</v>
      </c>
      <c r="G33" s="45" t="s">
        <v>2793</v>
      </c>
      <c r="H33" s="45" t="s">
        <v>2794</v>
      </c>
      <c r="I33" s="45" t="s">
        <v>129</v>
      </c>
      <c r="J33" s="45" t="s">
        <v>128</v>
      </c>
      <c r="K33" s="45" t="str">
        <f>"00028587"</f>
        <v>00028587</v>
      </c>
    </row>
    <row r="34" spans="1:11" ht="45" customHeight="1">
      <c r="A34" s="30">
        <v>105</v>
      </c>
      <c r="B34" s="45" t="s">
        <v>2815</v>
      </c>
      <c r="C34" s="45" t="s">
        <v>1</v>
      </c>
      <c r="D34" s="45"/>
      <c r="E34" s="47">
        <v>100000</v>
      </c>
      <c r="F34" s="30">
        <v>4</v>
      </c>
      <c r="G34" s="53" t="s">
        <v>2816</v>
      </c>
      <c r="H34" s="45" t="s">
        <v>2817</v>
      </c>
      <c r="I34" s="45" t="s">
        <v>2818</v>
      </c>
      <c r="J34" s="49" t="s">
        <v>2819</v>
      </c>
      <c r="K34" s="45" t="str">
        <f>"00028379"</f>
        <v>00028379</v>
      </c>
    </row>
    <row r="35" spans="1:11" ht="45" customHeight="1">
      <c r="A35" s="30">
        <v>105</v>
      </c>
      <c r="B35" s="51" t="s">
        <v>240</v>
      </c>
      <c r="C35" s="45" t="s">
        <v>1</v>
      </c>
      <c r="D35" s="45"/>
      <c r="E35" s="47">
        <v>47870</v>
      </c>
      <c r="F35" s="30">
        <v>4</v>
      </c>
      <c r="G35" s="45" t="s">
        <v>2795</v>
      </c>
      <c r="H35" s="45" t="s">
        <v>2283</v>
      </c>
      <c r="I35" s="45" t="s">
        <v>40</v>
      </c>
      <c r="J35" s="45" t="s">
        <v>125</v>
      </c>
      <c r="K35" s="76" t="s">
        <v>5901</v>
      </c>
    </row>
    <row r="36" spans="1:11" ht="45" customHeight="1">
      <c r="A36" s="30">
        <v>105</v>
      </c>
      <c r="B36" s="45" t="s">
        <v>2096</v>
      </c>
      <c r="C36" s="45" t="s">
        <v>1</v>
      </c>
      <c r="D36" s="45"/>
      <c r="E36" s="47">
        <v>35486</v>
      </c>
      <c r="F36" s="30">
        <v>4</v>
      </c>
      <c r="G36" s="45" t="s">
        <v>2797</v>
      </c>
      <c r="H36" s="45" t="s">
        <v>2798</v>
      </c>
      <c r="I36" s="45" t="s">
        <v>2799</v>
      </c>
      <c r="J36" s="45" t="s">
        <v>2800</v>
      </c>
      <c r="K36" s="76" t="s">
        <v>5902</v>
      </c>
    </row>
    <row r="37" spans="1:11" ht="45" customHeight="1">
      <c r="A37" s="30">
        <v>105</v>
      </c>
      <c r="B37" s="45" t="s">
        <v>5521</v>
      </c>
      <c r="C37" s="45" t="s">
        <v>1</v>
      </c>
      <c r="D37" s="45"/>
      <c r="E37" s="47">
        <v>58540</v>
      </c>
      <c r="F37" s="30">
        <v>4</v>
      </c>
      <c r="G37" s="45" t="s">
        <v>5522</v>
      </c>
      <c r="H37" s="45" t="s">
        <v>5523</v>
      </c>
      <c r="I37" s="45" t="s">
        <v>40</v>
      </c>
      <c r="J37" s="45" t="s">
        <v>125</v>
      </c>
      <c r="K37" s="76" t="s">
        <v>5903</v>
      </c>
    </row>
    <row r="38" spans="1:11" ht="45" customHeight="1">
      <c r="A38" s="30">
        <v>105</v>
      </c>
      <c r="B38" s="45" t="s">
        <v>252</v>
      </c>
      <c r="C38" s="45" t="s">
        <v>1</v>
      </c>
      <c r="D38" s="45"/>
      <c r="E38" s="47">
        <v>42350</v>
      </c>
      <c r="F38" s="30">
        <v>4</v>
      </c>
      <c r="G38" s="45" t="s">
        <v>2801</v>
      </c>
      <c r="H38" s="45" t="s">
        <v>2802</v>
      </c>
      <c r="I38" s="45" t="s">
        <v>723</v>
      </c>
      <c r="J38" s="45" t="s">
        <v>197</v>
      </c>
      <c r="K38" s="76" t="s">
        <v>5904</v>
      </c>
    </row>
    <row r="39" spans="1:11" ht="45" customHeight="1">
      <c r="A39" s="30">
        <v>105</v>
      </c>
      <c r="B39" s="45" t="s">
        <v>2803</v>
      </c>
      <c r="C39" s="45" t="s">
        <v>1</v>
      </c>
      <c r="D39" s="45"/>
      <c r="E39" s="47">
        <v>123117</v>
      </c>
      <c r="F39" s="30">
        <v>4</v>
      </c>
      <c r="G39" s="45" t="s">
        <v>5524</v>
      </c>
      <c r="H39" s="45" t="s">
        <v>2460</v>
      </c>
      <c r="I39" s="45" t="s">
        <v>40</v>
      </c>
      <c r="J39" s="45" t="s">
        <v>125</v>
      </c>
      <c r="K39" s="76" t="s">
        <v>5905</v>
      </c>
    </row>
    <row r="40" spans="1:11" ht="45" customHeight="1">
      <c r="A40" s="30">
        <v>105</v>
      </c>
      <c r="B40" s="45" t="s">
        <v>242</v>
      </c>
      <c r="C40" s="45" t="s">
        <v>1</v>
      </c>
      <c r="D40" s="45"/>
      <c r="E40" s="47">
        <v>27214</v>
      </c>
      <c r="F40" s="30">
        <v>4</v>
      </c>
      <c r="G40" s="51" t="s">
        <v>5525</v>
      </c>
      <c r="H40" s="45" t="s">
        <v>2831</v>
      </c>
      <c r="I40" s="45" t="s">
        <v>722</v>
      </c>
      <c r="J40" s="45" t="s">
        <v>2832</v>
      </c>
      <c r="K40" s="76" t="s">
        <v>5906</v>
      </c>
    </row>
    <row r="41" spans="1:11" ht="45" customHeight="1">
      <c r="A41" s="30">
        <v>105</v>
      </c>
      <c r="B41" s="45" t="s">
        <v>5526</v>
      </c>
      <c r="C41" s="45" t="s">
        <v>1</v>
      </c>
      <c r="D41" s="45"/>
      <c r="E41" s="47">
        <v>14749</v>
      </c>
      <c r="F41" s="30">
        <v>4</v>
      </c>
      <c r="G41" s="45" t="s">
        <v>5527</v>
      </c>
      <c r="H41" s="45" t="s">
        <v>5528</v>
      </c>
      <c r="I41" s="45" t="s">
        <v>196</v>
      </c>
      <c r="J41" s="45" t="s">
        <v>138</v>
      </c>
      <c r="K41" s="45" t="str">
        <f>"00031869"</f>
        <v>00031869</v>
      </c>
    </row>
    <row r="42" spans="1:11" ht="45" customHeight="1">
      <c r="A42" s="30">
        <v>105</v>
      </c>
      <c r="B42" s="45" t="s">
        <v>2815</v>
      </c>
      <c r="C42" s="45" t="s">
        <v>1</v>
      </c>
      <c r="D42" s="45"/>
      <c r="E42" s="47">
        <v>100000</v>
      </c>
      <c r="F42" s="30">
        <v>4</v>
      </c>
      <c r="G42" s="53" t="s">
        <v>2816</v>
      </c>
      <c r="H42" s="45" t="s">
        <v>2817</v>
      </c>
      <c r="I42" s="45" t="s">
        <v>2818</v>
      </c>
      <c r="J42" s="76" t="s">
        <v>2819</v>
      </c>
      <c r="K42" s="125" t="s">
        <v>5925</v>
      </c>
    </row>
    <row r="43" spans="1:11" ht="45" customHeight="1">
      <c r="A43" s="30">
        <v>104</v>
      </c>
      <c r="B43" s="45" t="s">
        <v>213</v>
      </c>
      <c r="C43" s="45" t="s">
        <v>38</v>
      </c>
      <c r="D43" s="45"/>
      <c r="E43" s="47">
        <v>60000</v>
      </c>
      <c r="F43" s="30">
        <v>4</v>
      </c>
      <c r="G43" s="45" t="s">
        <v>214</v>
      </c>
      <c r="H43" s="45" t="s">
        <v>215</v>
      </c>
      <c r="I43" s="45" t="s">
        <v>216</v>
      </c>
      <c r="J43" s="45" t="s">
        <v>217</v>
      </c>
      <c r="K43" s="125" t="s">
        <v>5926</v>
      </c>
    </row>
    <row r="44" spans="1:11" ht="45" customHeight="1">
      <c r="A44" s="30"/>
      <c r="B44" s="58" t="s">
        <v>272</v>
      </c>
      <c r="C44" s="45"/>
      <c r="D44" s="45"/>
      <c r="E44" s="47">
        <f>SUM(E17:E43)</f>
        <v>1424657</v>
      </c>
      <c r="F44" s="30"/>
      <c r="G44" s="45"/>
      <c r="H44" s="45"/>
      <c r="I44" s="45"/>
      <c r="J44" s="45"/>
      <c r="K44" s="45"/>
    </row>
    <row r="45" spans="1:11" ht="45" customHeight="1">
      <c r="A45" s="30"/>
      <c r="B45" s="60" t="s">
        <v>781</v>
      </c>
      <c r="C45" s="45"/>
      <c r="D45" s="45"/>
      <c r="E45" s="47"/>
      <c r="F45" s="30"/>
      <c r="G45" s="45"/>
      <c r="H45" s="45"/>
      <c r="I45" s="45"/>
      <c r="J45" s="45"/>
      <c r="K45" s="45"/>
    </row>
    <row r="46" spans="1:11" ht="45" customHeight="1">
      <c r="A46" s="30">
        <v>105</v>
      </c>
      <c r="B46" s="45" t="s">
        <v>1062</v>
      </c>
      <c r="C46" s="45" t="s">
        <v>1</v>
      </c>
      <c r="D46" s="45"/>
      <c r="E46" s="47">
        <v>62194</v>
      </c>
      <c r="F46" s="30">
        <v>4</v>
      </c>
      <c r="G46" s="49" t="s">
        <v>2839</v>
      </c>
      <c r="H46" s="45" t="s">
        <v>1374</v>
      </c>
      <c r="I46" s="45" t="s">
        <v>728</v>
      </c>
      <c r="J46" s="45" t="s">
        <v>729</v>
      </c>
      <c r="K46" s="45" t="s">
        <v>3831</v>
      </c>
    </row>
    <row r="47" spans="1:11" ht="45" customHeight="1">
      <c r="A47" s="30">
        <v>105</v>
      </c>
      <c r="B47" s="51" t="s">
        <v>636</v>
      </c>
      <c r="C47" s="45" t="s">
        <v>1</v>
      </c>
      <c r="D47" s="45"/>
      <c r="E47" s="47">
        <v>76228</v>
      </c>
      <c r="F47" s="30">
        <v>4</v>
      </c>
      <c r="G47" s="45" t="s">
        <v>2843</v>
      </c>
      <c r="H47" s="45" t="s">
        <v>2844</v>
      </c>
      <c r="I47" s="45" t="s">
        <v>40</v>
      </c>
      <c r="J47" s="45" t="s">
        <v>125</v>
      </c>
      <c r="K47" s="45" t="s">
        <v>3832</v>
      </c>
    </row>
    <row r="48" spans="1:11" ht="45" customHeight="1">
      <c r="A48" s="30">
        <v>105</v>
      </c>
      <c r="B48" s="45" t="s">
        <v>1024</v>
      </c>
      <c r="C48" s="45" t="s">
        <v>1</v>
      </c>
      <c r="D48" s="45"/>
      <c r="E48" s="47">
        <v>20927</v>
      </c>
      <c r="F48" s="30">
        <v>4</v>
      </c>
      <c r="G48" s="45" t="s">
        <v>2840</v>
      </c>
      <c r="H48" s="45" t="s">
        <v>2841</v>
      </c>
      <c r="I48" s="45" t="s">
        <v>40</v>
      </c>
      <c r="J48" s="45" t="s">
        <v>125</v>
      </c>
      <c r="K48" s="45" t="s">
        <v>3833</v>
      </c>
    </row>
    <row r="49" spans="1:11" ht="45" customHeight="1">
      <c r="A49" s="30">
        <v>105</v>
      </c>
      <c r="B49" s="45" t="s">
        <v>1079</v>
      </c>
      <c r="C49" s="45" t="s">
        <v>1</v>
      </c>
      <c r="D49" s="45"/>
      <c r="E49" s="47">
        <v>75889</v>
      </c>
      <c r="F49" s="30">
        <v>4</v>
      </c>
      <c r="G49" s="45" t="s">
        <v>2842</v>
      </c>
      <c r="H49" s="45" t="s">
        <v>2283</v>
      </c>
      <c r="I49" s="45" t="s">
        <v>126</v>
      </c>
      <c r="J49" s="45" t="s">
        <v>720</v>
      </c>
      <c r="K49" s="45" t="s">
        <v>3834</v>
      </c>
    </row>
    <row r="50" spans="1:11" ht="45" customHeight="1">
      <c r="A50" s="30">
        <v>105</v>
      </c>
      <c r="B50" s="45" t="s">
        <v>1024</v>
      </c>
      <c r="C50" s="45" t="s">
        <v>1</v>
      </c>
      <c r="D50" s="45"/>
      <c r="E50" s="47">
        <v>56576</v>
      </c>
      <c r="F50" s="30">
        <v>4</v>
      </c>
      <c r="G50" s="45" t="s">
        <v>2835</v>
      </c>
      <c r="H50" s="45" t="s">
        <v>2836</v>
      </c>
      <c r="I50" s="45" t="s">
        <v>43</v>
      </c>
      <c r="J50" s="45" t="s">
        <v>130</v>
      </c>
      <c r="K50" s="45" t="s">
        <v>3835</v>
      </c>
    </row>
    <row r="51" spans="1:11" ht="45" customHeight="1">
      <c r="A51" s="30">
        <v>105</v>
      </c>
      <c r="B51" s="45" t="s">
        <v>715</v>
      </c>
      <c r="C51" s="45" t="s">
        <v>1</v>
      </c>
      <c r="D51" s="45"/>
      <c r="E51" s="47">
        <v>69517</v>
      </c>
      <c r="F51" s="30">
        <v>4</v>
      </c>
      <c r="G51" s="45" t="s">
        <v>2837</v>
      </c>
      <c r="H51" s="45" t="s">
        <v>2838</v>
      </c>
      <c r="I51" s="45" t="s">
        <v>42</v>
      </c>
      <c r="J51" s="45" t="s">
        <v>138</v>
      </c>
      <c r="K51" s="45" t="s">
        <v>3836</v>
      </c>
    </row>
    <row r="52" spans="1:11" ht="45" customHeight="1">
      <c r="A52" s="30">
        <v>105</v>
      </c>
      <c r="B52" s="45" t="s">
        <v>2833</v>
      </c>
      <c r="C52" s="45" t="s">
        <v>1</v>
      </c>
      <c r="D52" s="45"/>
      <c r="E52" s="47">
        <v>16041</v>
      </c>
      <c r="F52" s="30">
        <v>4</v>
      </c>
      <c r="G52" s="45" t="s">
        <v>2834</v>
      </c>
      <c r="H52" s="45" t="s">
        <v>2287</v>
      </c>
      <c r="I52" s="45" t="s">
        <v>40</v>
      </c>
      <c r="J52" s="45" t="s">
        <v>125</v>
      </c>
      <c r="K52" s="45" t="s">
        <v>3837</v>
      </c>
    </row>
    <row r="53" spans="1:11" ht="45" customHeight="1">
      <c r="A53" s="30">
        <v>105</v>
      </c>
      <c r="B53" s="45" t="s">
        <v>2845</v>
      </c>
      <c r="C53" s="45" t="s">
        <v>1</v>
      </c>
      <c r="D53" s="45"/>
      <c r="E53" s="47">
        <v>60000</v>
      </c>
      <c r="F53" s="30">
        <v>4</v>
      </c>
      <c r="G53" s="52" t="s">
        <v>2846</v>
      </c>
      <c r="H53" s="45" t="s">
        <v>2836</v>
      </c>
      <c r="I53" s="45" t="s">
        <v>43</v>
      </c>
      <c r="J53" s="45" t="s">
        <v>130</v>
      </c>
      <c r="K53" s="45" t="str">
        <f>"00030131"</f>
        <v>00030131</v>
      </c>
    </row>
    <row r="54" spans="1:11" ht="45" customHeight="1">
      <c r="A54" s="30">
        <v>105</v>
      </c>
      <c r="B54" s="45" t="s">
        <v>3838</v>
      </c>
      <c r="C54" s="45" t="s">
        <v>1</v>
      </c>
      <c r="D54" s="45"/>
      <c r="E54" s="47">
        <v>6552</v>
      </c>
      <c r="F54" s="30">
        <v>4</v>
      </c>
      <c r="G54" s="53" t="s">
        <v>3839</v>
      </c>
      <c r="H54" s="45" t="s">
        <v>2836</v>
      </c>
      <c r="I54" s="45" t="s">
        <v>196</v>
      </c>
      <c r="J54" s="45" t="s">
        <v>130</v>
      </c>
      <c r="K54" s="45" t="str">
        <f>"00030131"</f>
        <v>00030131</v>
      </c>
    </row>
    <row r="55" spans="1:11" ht="45" customHeight="1">
      <c r="A55" s="30">
        <v>105</v>
      </c>
      <c r="B55" s="49" t="s">
        <v>3840</v>
      </c>
      <c r="C55" s="45" t="s">
        <v>1</v>
      </c>
      <c r="D55" s="45"/>
      <c r="E55" s="47">
        <v>65396</v>
      </c>
      <c r="F55" s="30">
        <v>4</v>
      </c>
      <c r="G55" s="49" t="s">
        <v>3841</v>
      </c>
      <c r="H55" s="45" t="s">
        <v>2836</v>
      </c>
      <c r="I55" s="45" t="s">
        <v>196</v>
      </c>
      <c r="J55" s="45" t="s">
        <v>130</v>
      </c>
      <c r="K55" s="45" t="str">
        <f>"00030124"</f>
        <v>00030124</v>
      </c>
    </row>
    <row r="56" spans="1:11" ht="45" customHeight="1">
      <c r="A56" s="30"/>
      <c r="B56" s="58" t="s">
        <v>780</v>
      </c>
      <c r="C56" s="45"/>
      <c r="D56" s="45"/>
      <c r="E56" s="47">
        <f>SUM(E46:E55)</f>
        <v>509320</v>
      </c>
      <c r="F56" s="30"/>
      <c r="G56" s="45"/>
      <c r="H56" s="45"/>
      <c r="I56" s="45"/>
      <c r="J56" s="45"/>
      <c r="K56" s="45"/>
    </row>
    <row r="57" spans="1:11" ht="45" customHeight="1">
      <c r="A57" s="30"/>
      <c r="B57" s="60" t="s">
        <v>718</v>
      </c>
      <c r="C57" s="45"/>
      <c r="D57" s="45"/>
      <c r="E57" s="47"/>
      <c r="F57" s="30"/>
      <c r="G57" s="45"/>
      <c r="H57" s="45"/>
      <c r="I57" s="45"/>
      <c r="J57" s="45"/>
      <c r="K57" s="45"/>
    </row>
    <row r="58" spans="1:11" ht="45" customHeight="1">
      <c r="A58" s="30">
        <v>105</v>
      </c>
      <c r="B58" s="45" t="s">
        <v>2882</v>
      </c>
      <c r="C58" s="45" t="s">
        <v>1</v>
      </c>
      <c r="D58" s="45"/>
      <c r="E58" s="47">
        <v>60574</v>
      </c>
      <c r="F58" s="30">
        <v>4</v>
      </c>
      <c r="G58" s="49" t="s">
        <v>2883</v>
      </c>
      <c r="H58" s="45" t="s">
        <v>2492</v>
      </c>
      <c r="I58" s="45" t="s">
        <v>126</v>
      </c>
      <c r="J58" s="45" t="s">
        <v>127</v>
      </c>
      <c r="K58" s="45" t="str">
        <f>"00028837"</f>
        <v>00028837</v>
      </c>
    </row>
    <row r="59" spans="1:11" ht="45" customHeight="1">
      <c r="A59" s="126"/>
      <c r="B59" s="58" t="s">
        <v>50</v>
      </c>
      <c r="C59" s="126"/>
      <c r="D59" s="126"/>
      <c r="E59" s="47">
        <f>SUM(E58)</f>
        <v>60574</v>
      </c>
      <c r="F59" s="126"/>
      <c r="G59" s="126"/>
      <c r="H59" s="126"/>
      <c r="I59" s="126"/>
      <c r="J59" s="126"/>
      <c r="K59" s="126"/>
    </row>
    <row r="60" spans="1:11" ht="45" customHeight="1">
      <c r="A60" s="30"/>
      <c r="B60" s="56" t="s">
        <v>7</v>
      </c>
      <c r="C60" s="45"/>
      <c r="D60" s="45"/>
      <c r="E60" s="45"/>
      <c r="F60" s="30"/>
      <c r="G60" s="45"/>
      <c r="H60" s="45"/>
      <c r="I60" s="45"/>
      <c r="J60" s="45"/>
      <c r="K60" s="98"/>
    </row>
    <row r="61" spans="1:11" ht="45" customHeight="1">
      <c r="A61" s="30">
        <v>105</v>
      </c>
      <c r="B61" s="51" t="s">
        <v>2878</v>
      </c>
      <c r="C61" s="45" t="s">
        <v>1</v>
      </c>
      <c r="D61" s="45"/>
      <c r="E61" s="47">
        <v>73009</v>
      </c>
      <c r="F61" s="30">
        <v>4</v>
      </c>
      <c r="G61" s="45" t="s">
        <v>2879</v>
      </c>
      <c r="H61" s="45" t="s">
        <v>1738</v>
      </c>
      <c r="I61" s="45" t="s">
        <v>126</v>
      </c>
      <c r="J61" s="45" t="s">
        <v>127</v>
      </c>
      <c r="K61" s="45" t="str">
        <f>"00028524"</f>
        <v>00028524</v>
      </c>
    </row>
    <row r="62" spans="1:11" ht="45" customHeight="1">
      <c r="A62" s="30">
        <v>105</v>
      </c>
      <c r="B62" s="51" t="s">
        <v>1293</v>
      </c>
      <c r="C62" s="45" t="s">
        <v>1</v>
      </c>
      <c r="D62" s="45"/>
      <c r="E62" s="47">
        <v>33702</v>
      </c>
      <c r="F62" s="30">
        <v>4</v>
      </c>
      <c r="G62" s="45" t="s">
        <v>2880</v>
      </c>
      <c r="H62" s="45" t="s">
        <v>2881</v>
      </c>
      <c r="I62" s="45" t="s">
        <v>722</v>
      </c>
      <c r="J62" s="45" t="s">
        <v>721</v>
      </c>
      <c r="K62" s="45" t="str">
        <f>"00029663"</f>
        <v>00029663</v>
      </c>
    </row>
    <row r="63" spans="1:11" ht="45" customHeight="1">
      <c r="A63" s="30"/>
      <c r="B63" s="58" t="s">
        <v>121</v>
      </c>
      <c r="C63" s="45"/>
      <c r="D63" s="45"/>
      <c r="E63" s="47">
        <f>SUM(E61:E62)</f>
        <v>106711</v>
      </c>
      <c r="F63" s="30"/>
      <c r="G63" s="45"/>
      <c r="H63" s="45"/>
      <c r="I63" s="45"/>
      <c r="J63" s="45"/>
      <c r="K63" s="45"/>
    </row>
    <row r="64" spans="1:11" ht="45" customHeight="1">
      <c r="A64" s="30"/>
      <c r="B64" s="60" t="s">
        <v>143</v>
      </c>
      <c r="C64" s="45"/>
      <c r="D64" s="45"/>
      <c r="E64" s="47"/>
      <c r="F64" s="30"/>
      <c r="G64" s="45"/>
      <c r="H64" s="45"/>
      <c r="I64" s="45"/>
      <c r="J64" s="45"/>
      <c r="K64" s="45"/>
    </row>
    <row r="65" spans="1:11" ht="45" customHeight="1">
      <c r="A65" s="30">
        <v>105</v>
      </c>
      <c r="B65" s="45" t="s">
        <v>2859</v>
      </c>
      <c r="C65" s="45" t="s">
        <v>1</v>
      </c>
      <c r="D65" s="45"/>
      <c r="E65" s="47">
        <v>85185</v>
      </c>
      <c r="F65" s="30">
        <v>4</v>
      </c>
      <c r="G65" s="45" t="s">
        <v>2860</v>
      </c>
      <c r="H65" s="45" t="s">
        <v>1596</v>
      </c>
      <c r="I65" s="45" t="s">
        <v>43</v>
      </c>
      <c r="J65" s="45" t="s">
        <v>130</v>
      </c>
      <c r="K65" s="45" t="str">
        <f>"00029832"</f>
        <v>00029832</v>
      </c>
    </row>
    <row r="66" spans="1:11" ht="45" customHeight="1">
      <c r="A66" s="30">
        <v>105</v>
      </c>
      <c r="B66" s="45" t="s">
        <v>289</v>
      </c>
      <c r="C66" s="45" t="s">
        <v>1</v>
      </c>
      <c r="D66" s="45"/>
      <c r="E66" s="47">
        <v>16980</v>
      </c>
      <c r="F66" s="30">
        <v>4</v>
      </c>
      <c r="G66" s="45" t="s">
        <v>2862</v>
      </c>
      <c r="H66" s="45" t="s">
        <v>2863</v>
      </c>
      <c r="I66" s="45" t="s">
        <v>43</v>
      </c>
      <c r="J66" s="45" t="s">
        <v>130</v>
      </c>
      <c r="K66" s="45" t="str">
        <f>"00030005"</f>
        <v>00030005</v>
      </c>
    </row>
    <row r="67" spans="1:11" ht="45" customHeight="1">
      <c r="A67" s="30">
        <v>105</v>
      </c>
      <c r="B67" s="45" t="s">
        <v>1137</v>
      </c>
      <c r="C67" s="45" t="s">
        <v>1</v>
      </c>
      <c r="D67" s="45"/>
      <c r="E67" s="47">
        <v>58263</v>
      </c>
      <c r="F67" s="30">
        <v>4</v>
      </c>
      <c r="G67" s="51" t="s">
        <v>2850</v>
      </c>
      <c r="H67" s="45" t="s">
        <v>2851</v>
      </c>
      <c r="I67" s="45" t="s">
        <v>2852</v>
      </c>
      <c r="J67" s="45" t="s">
        <v>2853</v>
      </c>
      <c r="K67" s="45" t="str">
        <f>"00030367"</f>
        <v>00030367</v>
      </c>
    </row>
    <row r="68" spans="1:11" ht="45" customHeight="1">
      <c r="A68" s="30">
        <v>105</v>
      </c>
      <c r="B68" s="76" t="s">
        <v>2854</v>
      </c>
      <c r="C68" s="45" t="s">
        <v>1</v>
      </c>
      <c r="D68" s="45"/>
      <c r="E68" s="47">
        <v>48709</v>
      </c>
      <c r="F68" s="30">
        <v>4</v>
      </c>
      <c r="G68" s="45" t="s">
        <v>2855</v>
      </c>
      <c r="H68" s="45" t="s">
        <v>1996</v>
      </c>
      <c r="I68" s="45" t="s">
        <v>86</v>
      </c>
      <c r="J68" s="45" t="s">
        <v>208</v>
      </c>
      <c r="K68" s="45" t="str">
        <f>"00030644"</f>
        <v>00030644</v>
      </c>
    </row>
    <row r="69" spans="1:11" ht="45" customHeight="1">
      <c r="A69" s="30">
        <v>105</v>
      </c>
      <c r="B69" s="76" t="s">
        <v>33</v>
      </c>
      <c r="C69" s="45" t="s">
        <v>1</v>
      </c>
      <c r="D69" s="45"/>
      <c r="E69" s="47">
        <v>52588</v>
      </c>
      <c r="F69" s="30">
        <v>4</v>
      </c>
      <c r="G69" s="45" t="s">
        <v>2860</v>
      </c>
      <c r="H69" s="45" t="s">
        <v>2861</v>
      </c>
      <c r="I69" s="45" t="s">
        <v>43</v>
      </c>
      <c r="J69" s="45" t="s">
        <v>130</v>
      </c>
      <c r="K69" s="45" t="str">
        <f>"00030335"</f>
        <v>00030335</v>
      </c>
    </row>
    <row r="70" spans="1:11" ht="45" customHeight="1">
      <c r="A70" s="30">
        <v>105</v>
      </c>
      <c r="B70" s="76" t="s">
        <v>2847</v>
      </c>
      <c r="C70" s="45" t="s">
        <v>1</v>
      </c>
      <c r="D70" s="45"/>
      <c r="E70" s="47">
        <v>50000</v>
      </c>
      <c r="F70" s="30">
        <v>4</v>
      </c>
      <c r="G70" s="45" t="s">
        <v>2848</v>
      </c>
      <c r="H70" s="45" t="s">
        <v>2849</v>
      </c>
      <c r="I70" s="45" t="s">
        <v>43</v>
      </c>
      <c r="J70" s="45" t="s">
        <v>130</v>
      </c>
      <c r="K70" s="45" t="str">
        <f>"00029225"</f>
        <v>00029225</v>
      </c>
    </row>
    <row r="71" spans="1:11" ht="45" customHeight="1">
      <c r="A71" s="30">
        <v>105</v>
      </c>
      <c r="B71" s="76" t="s">
        <v>33</v>
      </c>
      <c r="C71" s="45" t="s">
        <v>1</v>
      </c>
      <c r="D71" s="45"/>
      <c r="E71" s="47">
        <v>57364</v>
      </c>
      <c r="F71" s="30">
        <v>4</v>
      </c>
      <c r="G71" s="45" t="s">
        <v>2858</v>
      </c>
      <c r="H71" s="45" t="s">
        <v>1909</v>
      </c>
      <c r="I71" s="45" t="s">
        <v>43</v>
      </c>
      <c r="J71" s="45" t="s">
        <v>130</v>
      </c>
      <c r="K71" s="45" t="str">
        <f>"00031839"</f>
        <v>00031839</v>
      </c>
    </row>
    <row r="72" spans="1:11" ht="45" customHeight="1">
      <c r="A72" s="30">
        <v>105</v>
      </c>
      <c r="B72" s="45" t="s">
        <v>286</v>
      </c>
      <c r="C72" s="45" t="s">
        <v>1</v>
      </c>
      <c r="D72" s="45"/>
      <c r="E72" s="47">
        <v>89545</v>
      </c>
      <c r="F72" s="30">
        <v>4</v>
      </c>
      <c r="G72" s="45" t="s">
        <v>2857</v>
      </c>
      <c r="H72" s="45" t="s">
        <v>2849</v>
      </c>
      <c r="I72" s="45" t="s">
        <v>43</v>
      </c>
      <c r="J72" s="45" t="s">
        <v>130</v>
      </c>
      <c r="K72" s="45" t="str">
        <f>"00030145"</f>
        <v>00030145</v>
      </c>
    </row>
    <row r="73" spans="1:11" ht="45" customHeight="1">
      <c r="A73" s="30">
        <v>105</v>
      </c>
      <c r="B73" s="45" t="s">
        <v>286</v>
      </c>
      <c r="C73" s="45" t="s">
        <v>1</v>
      </c>
      <c r="D73" s="45"/>
      <c r="E73" s="47">
        <v>42557</v>
      </c>
      <c r="F73" s="30">
        <v>4</v>
      </c>
      <c r="G73" s="45" t="s">
        <v>2856</v>
      </c>
      <c r="H73" s="45" t="s">
        <v>2849</v>
      </c>
      <c r="I73" s="45" t="s">
        <v>43</v>
      </c>
      <c r="J73" s="45" t="s">
        <v>130</v>
      </c>
      <c r="K73" s="45" t="str">
        <f>"00030151"</f>
        <v>00030151</v>
      </c>
    </row>
    <row r="74" spans="1:11" ht="45" customHeight="1">
      <c r="A74" s="30">
        <v>105</v>
      </c>
      <c r="B74" s="45" t="s">
        <v>1137</v>
      </c>
      <c r="C74" s="45" t="s">
        <v>1</v>
      </c>
      <c r="D74" s="45"/>
      <c r="E74" s="47">
        <v>14306</v>
      </c>
      <c r="F74" s="30">
        <v>4</v>
      </c>
      <c r="G74" s="45" t="s">
        <v>2856</v>
      </c>
      <c r="H74" s="45" t="s">
        <v>2849</v>
      </c>
      <c r="I74" s="45" t="s">
        <v>43</v>
      </c>
      <c r="J74" s="45" t="s">
        <v>130</v>
      </c>
      <c r="K74" s="45" t="str">
        <f>"00030149"</f>
        <v>00030149</v>
      </c>
    </row>
    <row r="75" spans="1:11" ht="45" customHeight="1">
      <c r="A75" s="30">
        <v>105</v>
      </c>
      <c r="B75" s="45" t="s">
        <v>2864</v>
      </c>
      <c r="C75" s="45" t="s">
        <v>1</v>
      </c>
      <c r="D75" s="45"/>
      <c r="E75" s="47">
        <v>70000</v>
      </c>
      <c r="F75" s="30">
        <v>4</v>
      </c>
      <c r="G75" s="45" t="s">
        <v>2856</v>
      </c>
      <c r="H75" s="45" t="s">
        <v>2849</v>
      </c>
      <c r="I75" s="45" t="s">
        <v>43</v>
      </c>
      <c r="J75" s="45" t="s">
        <v>130</v>
      </c>
      <c r="K75" s="45" t="str">
        <f>"00030149"</f>
        <v>00030149</v>
      </c>
    </row>
    <row r="76" spans="1:11" ht="45" customHeight="1">
      <c r="A76" s="30">
        <v>105</v>
      </c>
      <c r="B76" s="76" t="s">
        <v>4346</v>
      </c>
      <c r="C76" s="45" t="s">
        <v>1</v>
      </c>
      <c r="D76" s="45"/>
      <c r="E76" s="47">
        <v>59689</v>
      </c>
      <c r="F76" s="30">
        <v>4</v>
      </c>
      <c r="G76" s="45" t="s">
        <v>4346</v>
      </c>
      <c r="H76" s="45" t="s">
        <v>4347</v>
      </c>
      <c r="I76" s="45" t="s">
        <v>196</v>
      </c>
      <c r="J76" s="45" t="s">
        <v>130</v>
      </c>
      <c r="K76" s="45" t="str">
        <f>"00030150"</f>
        <v>00030150</v>
      </c>
    </row>
    <row r="77" spans="1:11" ht="45" customHeight="1">
      <c r="A77" s="30">
        <v>105</v>
      </c>
      <c r="B77" s="45" t="s">
        <v>2857</v>
      </c>
      <c r="C77" s="45" t="s">
        <v>1</v>
      </c>
      <c r="D77" s="45"/>
      <c r="E77" s="47">
        <v>76030</v>
      </c>
      <c r="F77" s="30">
        <v>4</v>
      </c>
      <c r="G77" s="45" t="s">
        <v>2857</v>
      </c>
      <c r="H77" s="45" t="s">
        <v>2849</v>
      </c>
      <c r="I77" s="45" t="s">
        <v>196</v>
      </c>
      <c r="J77" s="45" t="s">
        <v>130</v>
      </c>
      <c r="K77" s="45" t="str">
        <f>"00030146"</f>
        <v>00030146</v>
      </c>
    </row>
    <row r="78" spans="1:11" ht="45" customHeight="1">
      <c r="A78" s="30">
        <v>105</v>
      </c>
      <c r="B78" s="76" t="s">
        <v>4348</v>
      </c>
      <c r="C78" s="45" t="s">
        <v>1</v>
      </c>
      <c r="D78" s="45"/>
      <c r="E78" s="47">
        <v>17265</v>
      </c>
      <c r="F78" s="30">
        <v>4</v>
      </c>
      <c r="G78" s="45" t="s">
        <v>4348</v>
      </c>
      <c r="H78" s="45" t="s">
        <v>2849</v>
      </c>
      <c r="I78" s="45" t="s">
        <v>196</v>
      </c>
      <c r="J78" s="45" t="s">
        <v>130</v>
      </c>
      <c r="K78" s="45" t="str">
        <f>"00030147"</f>
        <v>00030147</v>
      </c>
    </row>
    <row r="79" spans="1:11" ht="45" customHeight="1">
      <c r="A79" s="30">
        <v>105</v>
      </c>
      <c r="B79" s="45" t="s">
        <v>2857</v>
      </c>
      <c r="C79" s="45" t="s">
        <v>1</v>
      </c>
      <c r="D79" s="45"/>
      <c r="E79" s="47">
        <v>32762</v>
      </c>
      <c r="F79" s="30">
        <v>4</v>
      </c>
      <c r="G79" s="45" t="s">
        <v>2857</v>
      </c>
      <c r="H79" s="45" t="s">
        <v>2849</v>
      </c>
      <c r="I79" s="45" t="s">
        <v>196</v>
      </c>
      <c r="J79" s="45" t="s">
        <v>130</v>
      </c>
      <c r="K79" s="45" t="str">
        <f>"00030151"</f>
        <v>00030151</v>
      </c>
    </row>
    <row r="80" spans="1:11" ht="45" customHeight="1">
      <c r="A80" s="30"/>
      <c r="B80" s="58" t="s">
        <v>144</v>
      </c>
      <c r="C80" s="45"/>
      <c r="D80" s="45"/>
      <c r="E80" s="47">
        <f>SUM(E65:E79)</f>
        <v>771243</v>
      </c>
      <c r="F80" s="30"/>
      <c r="G80" s="49"/>
      <c r="H80" s="45"/>
      <c r="I80" s="45"/>
      <c r="J80" s="45"/>
      <c r="K80" s="45"/>
    </row>
    <row r="81" spans="1:11" ht="45" customHeight="1">
      <c r="A81" s="30"/>
      <c r="B81" s="60" t="s">
        <v>185</v>
      </c>
      <c r="C81" s="45"/>
      <c r="D81" s="45"/>
      <c r="E81" s="47"/>
      <c r="F81" s="30"/>
      <c r="G81" s="45"/>
      <c r="H81" s="45"/>
      <c r="I81" s="45"/>
      <c r="J81" s="45"/>
      <c r="K81" s="45"/>
    </row>
    <row r="82" spans="1:11" ht="45" customHeight="1">
      <c r="A82" s="30">
        <v>105</v>
      </c>
      <c r="B82" s="76" t="s">
        <v>299</v>
      </c>
      <c r="C82" s="45" t="s">
        <v>1</v>
      </c>
      <c r="D82" s="45"/>
      <c r="E82" s="47">
        <v>81834</v>
      </c>
      <c r="F82" s="30">
        <v>4</v>
      </c>
      <c r="G82" s="45" t="s">
        <v>2865</v>
      </c>
      <c r="H82" s="45" t="s">
        <v>2866</v>
      </c>
      <c r="I82" s="45" t="s">
        <v>42</v>
      </c>
      <c r="J82" s="45" t="s">
        <v>138</v>
      </c>
      <c r="K82" s="45" t="s">
        <v>3632</v>
      </c>
    </row>
    <row r="83" spans="1:11" ht="45" customHeight="1">
      <c r="A83" s="30">
        <v>105</v>
      </c>
      <c r="B83" s="45" t="s">
        <v>303</v>
      </c>
      <c r="C83" s="45" t="s">
        <v>1</v>
      </c>
      <c r="D83" s="45"/>
      <c r="E83" s="47">
        <v>17992</v>
      </c>
      <c r="F83" s="30">
        <v>4</v>
      </c>
      <c r="G83" s="45" t="s">
        <v>292</v>
      </c>
      <c r="H83" s="45" t="s">
        <v>2869</v>
      </c>
      <c r="I83" s="45" t="s">
        <v>64</v>
      </c>
      <c r="J83" s="45" t="s">
        <v>732</v>
      </c>
      <c r="K83" s="45" t="str">
        <f>"00026987"</f>
        <v>00026987</v>
      </c>
    </row>
    <row r="84" spans="1:11" ht="45" customHeight="1">
      <c r="A84" s="30">
        <v>105</v>
      </c>
      <c r="B84" s="45" t="s">
        <v>305</v>
      </c>
      <c r="C84" s="45" t="s">
        <v>1</v>
      </c>
      <c r="D84" s="45"/>
      <c r="E84" s="47">
        <v>71039</v>
      </c>
      <c r="F84" s="30">
        <v>4</v>
      </c>
      <c r="G84" s="45" t="s">
        <v>2867</v>
      </c>
      <c r="H84" s="45" t="s">
        <v>2868</v>
      </c>
      <c r="I84" s="45" t="s">
        <v>42</v>
      </c>
      <c r="J84" s="45" t="s">
        <v>138</v>
      </c>
      <c r="K84" s="45" t="s">
        <v>3633</v>
      </c>
    </row>
    <row r="85" spans="1:11" ht="45" customHeight="1">
      <c r="A85" s="30">
        <v>105</v>
      </c>
      <c r="B85" s="76" t="s">
        <v>318</v>
      </c>
      <c r="C85" s="45" t="s">
        <v>1</v>
      </c>
      <c r="D85" s="45"/>
      <c r="E85" s="47">
        <v>23367</v>
      </c>
      <c r="F85" s="30">
        <v>4</v>
      </c>
      <c r="G85" s="45" t="s">
        <v>2871</v>
      </c>
      <c r="H85" s="45" t="s">
        <v>2870</v>
      </c>
      <c r="I85" s="45" t="s">
        <v>40</v>
      </c>
      <c r="J85" s="45" t="s">
        <v>125</v>
      </c>
      <c r="K85" s="45" t="s">
        <v>3634</v>
      </c>
    </row>
    <row r="86" spans="1:11" ht="45" customHeight="1">
      <c r="A86" s="30">
        <v>105</v>
      </c>
      <c r="B86" s="45" t="s">
        <v>1175</v>
      </c>
      <c r="C86" s="45" t="s">
        <v>1</v>
      </c>
      <c r="D86" s="45"/>
      <c r="E86" s="47">
        <v>95963</v>
      </c>
      <c r="F86" s="30">
        <v>4</v>
      </c>
      <c r="G86" s="45" t="s">
        <v>2874</v>
      </c>
      <c r="H86" s="45" t="s">
        <v>2875</v>
      </c>
      <c r="I86" s="45" t="s">
        <v>42</v>
      </c>
      <c r="J86" s="45" t="s">
        <v>138</v>
      </c>
      <c r="K86" s="45" t="s">
        <v>3635</v>
      </c>
    </row>
    <row r="87" spans="1:11" ht="45" customHeight="1">
      <c r="A87" s="30">
        <v>105</v>
      </c>
      <c r="B87" s="76" t="s">
        <v>309</v>
      </c>
      <c r="C87" s="45" t="s">
        <v>1</v>
      </c>
      <c r="D87" s="45"/>
      <c r="E87" s="47">
        <v>40000</v>
      </c>
      <c r="F87" s="30">
        <v>4</v>
      </c>
      <c r="G87" s="45" t="s">
        <v>292</v>
      </c>
      <c r="H87" s="45" t="s">
        <v>2870</v>
      </c>
      <c r="I87" s="45" t="s">
        <v>40</v>
      </c>
      <c r="J87" s="45" t="s">
        <v>125</v>
      </c>
      <c r="K87" s="45" t="s">
        <v>3636</v>
      </c>
    </row>
    <row r="88" spans="1:11" ht="45" customHeight="1">
      <c r="A88" s="30">
        <v>105</v>
      </c>
      <c r="B88" s="45" t="s">
        <v>2872</v>
      </c>
      <c r="C88" s="45" t="s">
        <v>1</v>
      </c>
      <c r="D88" s="45"/>
      <c r="E88" s="47">
        <v>22620</v>
      </c>
      <c r="F88" s="30">
        <v>4</v>
      </c>
      <c r="G88" s="45" t="s">
        <v>292</v>
      </c>
      <c r="H88" s="45" t="s">
        <v>2873</v>
      </c>
      <c r="I88" s="45" t="s">
        <v>723</v>
      </c>
      <c r="J88" s="45" t="s">
        <v>197</v>
      </c>
      <c r="K88" s="45" t="str">
        <f>"00028229"</f>
        <v>00028229</v>
      </c>
    </row>
    <row r="89" spans="1:11" ht="45" customHeight="1">
      <c r="A89" s="30">
        <v>105</v>
      </c>
      <c r="B89" s="45" t="s">
        <v>2876</v>
      </c>
      <c r="C89" s="45" t="s">
        <v>1</v>
      </c>
      <c r="D89" s="45"/>
      <c r="E89" s="47">
        <v>50000</v>
      </c>
      <c r="F89" s="30">
        <v>4</v>
      </c>
      <c r="G89" s="45" t="s">
        <v>2877</v>
      </c>
      <c r="H89" s="45" t="s">
        <v>2875</v>
      </c>
      <c r="I89" s="45" t="s">
        <v>42</v>
      </c>
      <c r="J89" s="45" t="s">
        <v>138</v>
      </c>
      <c r="K89" s="45" t="str">
        <f>"00027615"</f>
        <v>00027615</v>
      </c>
    </row>
    <row r="90" spans="1:11" ht="45" customHeight="1">
      <c r="A90" s="30">
        <v>105</v>
      </c>
      <c r="B90" s="45" t="s">
        <v>3642</v>
      </c>
      <c r="C90" s="45" t="s">
        <v>1</v>
      </c>
      <c r="D90" s="45"/>
      <c r="E90" s="47">
        <v>36000</v>
      </c>
      <c r="F90" s="30">
        <v>4</v>
      </c>
      <c r="G90" s="45" t="s">
        <v>292</v>
      </c>
      <c r="H90" s="45" t="s">
        <v>2869</v>
      </c>
      <c r="I90" s="45" t="s">
        <v>196</v>
      </c>
      <c r="J90" s="45" t="s">
        <v>732</v>
      </c>
      <c r="K90" s="45" t="str">
        <f>"00027058"</f>
        <v>00027058</v>
      </c>
    </row>
    <row r="91" spans="1:11" ht="45" customHeight="1">
      <c r="A91" s="30">
        <v>105</v>
      </c>
      <c r="B91" s="45" t="s">
        <v>3643</v>
      </c>
      <c r="C91" s="45" t="s">
        <v>1</v>
      </c>
      <c r="D91" s="45"/>
      <c r="E91" s="47">
        <v>24972</v>
      </c>
      <c r="F91" s="30">
        <v>4</v>
      </c>
      <c r="G91" s="45" t="s">
        <v>292</v>
      </c>
      <c r="H91" s="45" t="s">
        <v>2873</v>
      </c>
      <c r="I91" s="45" t="s">
        <v>196</v>
      </c>
      <c r="J91" s="45" t="s">
        <v>197</v>
      </c>
      <c r="K91" s="45" t="str">
        <f>"00028229"</f>
        <v>00028229</v>
      </c>
    </row>
    <row r="92" spans="1:11" ht="45" customHeight="1">
      <c r="A92" s="30">
        <v>104</v>
      </c>
      <c r="B92" s="51" t="s">
        <v>326</v>
      </c>
      <c r="C92" s="45" t="s">
        <v>1</v>
      </c>
      <c r="D92" s="45"/>
      <c r="E92" s="47">
        <v>3400</v>
      </c>
      <c r="F92" s="30">
        <v>4</v>
      </c>
      <c r="G92" s="45" t="s">
        <v>53</v>
      </c>
      <c r="H92" s="45" t="s">
        <v>327</v>
      </c>
      <c r="I92" s="45" t="s">
        <v>196</v>
      </c>
      <c r="J92" s="45" t="s">
        <v>197</v>
      </c>
      <c r="K92" s="45" t="s">
        <v>3644</v>
      </c>
    </row>
    <row r="93" spans="1:11" ht="45" customHeight="1">
      <c r="A93" s="30"/>
      <c r="B93" s="58" t="s">
        <v>198</v>
      </c>
      <c r="C93" s="45"/>
      <c r="D93" s="45"/>
      <c r="E93" s="47">
        <f>SUM(E82:E92)</f>
        <v>467187</v>
      </c>
      <c r="F93" s="30"/>
      <c r="G93" s="45"/>
      <c r="H93" s="45"/>
      <c r="I93" s="45"/>
      <c r="J93" s="45"/>
      <c r="K93" s="98"/>
    </row>
    <row r="94" spans="1:11" ht="45" customHeight="1">
      <c r="A94" s="30"/>
      <c r="B94" s="60" t="s">
        <v>663</v>
      </c>
      <c r="C94" s="45"/>
      <c r="D94" s="45"/>
      <c r="E94" s="47"/>
      <c r="F94" s="30"/>
      <c r="G94" s="45"/>
      <c r="H94" s="45"/>
      <c r="I94" s="45"/>
      <c r="J94" s="45"/>
      <c r="K94" s="98"/>
    </row>
    <row r="95" spans="1:11" ht="45" customHeight="1">
      <c r="A95" s="30">
        <v>105</v>
      </c>
      <c r="B95" s="45" t="s">
        <v>692</v>
      </c>
      <c r="C95" s="45" t="s">
        <v>1</v>
      </c>
      <c r="D95" s="45"/>
      <c r="E95" s="47">
        <v>48262</v>
      </c>
      <c r="F95" s="30">
        <v>4</v>
      </c>
      <c r="G95" s="45" t="s">
        <v>1626</v>
      </c>
      <c r="H95" s="45" t="s">
        <v>1627</v>
      </c>
      <c r="I95" s="45" t="s">
        <v>43</v>
      </c>
      <c r="J95" s="45" t="s">
        <v>130</v>
      </c>
      <c r="K95" s="45" t="str">
        <f>"00030984"</f>
        <v>00030984</v>
      </c>
    </row>
    <row r="96" spans="1:11" ht="45" customHeight="1">
      <c r="A96" s="30">
        <v>105</v>
      </c>
      <c r="B96" s="45" t="s">
        <v>4989</v>
      </c>
      <c r="C96" s="45" t="s">
        <v>1</v>
      </c>
      <c r="D96" s="45"/>
      <c r="E96" s="47">
        <v>28843</v>
      </c>
      <c r="F96" s="30">
        <v>4</v>
      </c>
      <c r="G96" s="45" t="s">
        <v>4989</v>
      </c>
      <c r="H96" s="45" t="s">
        <v>4990</v>
      </c>
      <c r="I96" s="45" t="s">
        <v>196</v>
      </c>
      <c r="J96" s="45" t="s">
        <v>4991</v>
      </c>
      <c r="K96" s="45" t="str">
        <f>"00030355"</f>
        <v>00030355</v>
      </c>
    </row>
    <row r="97" spans="1:11" ht="45" customHeight="1">
      <c r="A97" s="126"/>
      <c r="B97" s="58" t="s">
        <v>664</v>
      </c>
      <c r="C97" s="126"/>
      <c r="D97" s="126"/>
      <c r="E97" s="47">
        <f>SUM(E95:E96)</f>
        <v>77105</v>
      </c>
      <c r="F97" s="126"/>
      <c r="G97" s="126"/>
      <c r="H97" s="126"/>
      <c r="I97" s="126"/>
      <c r="J97" s="126"/>
      <c r="K97" s="126"/>
    </row>
    <row r="98" spans="1:11" ht="45" customHeight="1">
      <c r="A98" s="30"/>
      <c r="B98" s="60" t="s">
        <v>202</v>
      </c>
      <c r="C98" s="45"/>
      <c r="D98" s="45"/>
      <c r="E98" s="47"/>
      <c r="F98" s="30"/>
      <c r="G98" s="45"/>
      <c r="H98" s="45"/>
      <c r="I98" s="45"/>
      <c r="J98" s="45"/>
      <c r="K98" s="45"/>
    </row>
    <row r="99" spans="1:11" ht="45" customHeight="1">
      <c r="A99" s="30">
        <v>105</v>
      </c>
      <c r="B99" s="45" t="s">
        <v>2923</v>
      </c>
      <c r="C99" s="45" t="s">
        <v>1</v>
      </c>
      <c r="D99" s="45"/>
      <c r="E99" s="47">
        <v>34744</v>
      </c>
      <c r="F99" s="30">
        <v>4</v>
      </c>
      <c r="G99" s="45" t="s">
        <v>2924</v>
      </c>
      <c r="H99" s="45" t="s">
        <v>2035</v>
      </c>
      <c r="I99" s="45" t="s">
        <v>2925</v>
      </c>
      <c r="J99" s="45" t="s">
        <v>2791</v>
      </c>
      <c r="K99" s="45" t="str">
        <f>"00029676"</f>
        <v>00029676</v>
      </c>
    </row>
    <row r="100" spans="1:11" ht="45" customHeight="1">
      <c r="A100" s="30">
        <v>105</v>
      </c>
      <c r="B100" s="45" t="s">
        <v>1547</v>
      </c>
      <c r="C100" s="45" t="s">
        <v>1</v>
      </c>
      <c r="D100" s="45"/>
      <c r="E100" s="47">
        <v>29704</v>
      </c>
      <c r="F100" s="30">
        <v>4</v>
      </c>
      <c r="G100" s="45" t="s">
        <v>2926</v>
      </c>
      <c r="H100" s="45" t="s">
        <v>1618</v>
      </c>
      <c r="I100" s="45" t="s">
        <v>131</v>
      </c>
      <c r="J100" s="45" t="s">
        <v>132</v>
      </c>
      <c r="K100" s="45" t="str">
        <f>"00029442"</f>
        <v>00029442</v>
      </c>
    </row>
    <row r="101" spans="1:11" ht="45" customHeight="1">
      <c r="A101" s="30">
        <v>105</v>
      </c>
      <c r="B101" s="45" t="s">
        <v>2928</v>
      </c>
      <c r="C101" s="45" t="s">
        <v>1</v>
      </c>
      <c r="D101" s="45"/>
      <c r="E101" s="47">
        <v>9141</v>
      </c>
      <c r="F101" s="30">
        <v>4</v>
      </c>
      <c r="G101" s="45" t="s">
        <v>2926</v>
      </c>
      <c r="H101" s="45" t="s">
        <v>1618</v>
      </c>
      <c r="I101" s="45" t="s">
        <v>131</v>
      </c>
      <c r="J101" s="45" t="s">
        <v>132</v>
      </c>
      <c r="K101" s="45" t="str">
        <f>"00029442"</f>
        <v>00029442</v>
      </c>
    </row>
    <row r="102" spans="1:11" ht="45" customHeight="1">
      <c r="A102" s="30">
        <v>105</v>
      </c>
      <c r="B102" s="45" t="s">
        <v>331</v>
      </c>
      <c r="C102" s="45" t="s">
        <v>1</v>
      </c>
      <c r="D102" s="45"/>
      <c r="E102" s="47">
        <v>29880</v>
      </c>
      <c r="F102" s="30">
        <v>4</v>
      </c>
      <c r="G102" s="45" t="s">
        <v>2929</v>
      </c>
      <c r="H102" s="45" t="s">
        <v>1539</v>
      </c>
      <c r="I102" s="45" t="s">
        <v>131</v>
      </c>
      <c r="J102" s="45" t="s">
        <v>132</v>
      </c>
      <c r="K102" s="45" t="str">
        <f>"00029226"</f>
        <v>00029226</v>
      </c>
    </row>
    <row r="103" spans="1:11" ht="45" customHeight="1">
      <c r="A103" s="30">
        <v>105</v>
      </c>
      <c r="B103" s="45" t="s">
        <v>1560</v>
      </c>
      <c r="C103" s="45" t="s">
        <v>1</v>
      </c>
      <c r="D103" s="45"/>
      <c r="E103" s="47">
        <v>39104</v>
      </c>
      <c r="F103" s="30">
        <v>4</v>
      </c>
      <c r="G103" s="49" t="s">
        <v>2907</v>
      </c>
      <c r="H103" s="45" t="s">
        <v>2908</v>
      </c>
      <c r="I103" s="45" t="s">
        <v>131</v>
      </c>
      <c r="J103" s="45" t="s">
        <v>132</v>
      </c>
      <c r="K103" s="45" t="str">
        <f>"00028812"</f>
        <v>00028812</v>
      </c>
    </row>
    <row r="104" spans="1:11" ht="45" customHeight="1">
      <c r="A104" s="30">
        <v>105</v>
      </c>
      <c r="B104" s="45" t="s">
        <v>2921</v>
      </c>
      <c r="C104" s="45" t="s">
        <v>1</v>
      </c>
      <c r="D104" s="45"/>
      <c r="E104" s="47">
        <v>57119</v>
      </c>
      <c r="F104" s="30">
        <v>4</v>
      </c>
      <c r="G104" s="45" t="s">
        <v>2927</v>
      </c>
      <c r="H104" s="45" t="s">
        <v>869</v>
      </c>
      <c r="I104" s="45" t="s">
        <v>131</v>
      </c>
      <c r="J104" s="45" t="s">
        <v>132</v>
      </c>
      <c r="K104" s="45" t="str">
        <f>"00029882"</f>
        <v>00029882</v>
      </c>
    </row>
    <row r="105" spans="1:11" ht="45" customHeight="1">
      <c r="A105" s="30">
        <v>105</v>
      </c>
      <c r="B105" s="45" t="s">
        <v>2918</v>
      </c>
      <c r="C105" s="45" t="s">
        <v>1</v>
      </c>
      <c r="D105" s="45"/>
      <c r="E105" s="47">
        <v>4647</v>
      </c>
      <c r="F105" s="30">
        <v>4</v>
      </c>
      <c r="G105" s="45" t="s">
        <v>2919</v>
      </c>
      <c r="H105" s="45" t="s">
        <v>2920</v>
      </c>
      <c r="I105" s="45" t="s">
        <v>42</v>
      </c>
      <c r="J105" s="45" t="s">
        <v>138</v>
      </c>
      <c r="K105" s="45" t="str">
        <f>"00032435"</f>
        <v>00032435</v>
      </c>
    </row>
    <row r="106" spans="1:11" ht="45" customHeight="1">
      <c r="A106" s="30">
        <v>105</v>
      </c>
      <c r="B106" s="45" t="s">
        <v>2909</v>
      </c>
      <c r="C106" s="45" t="s">
        <v>1</v>
      </c>
      <c r="D106" s="45"/>
      <c r="E106" s="47">
        <v>79280</v>
      </c>
      <c r="F106" s="30">
        <v>4</v>
      </c>
      <c r="G106" s="45" t="s">
        <v>2910</v>
      </c>
      <c r="H106" s="45" t="s">
        <v>2911</v>
      </c>
      <c r="I106" s="45" t="s">
        <v>2912</v>
      </c>
      <c r="J106" s="45" t="s">
        <v>2913</v>
      </c>
      <c r="K106" s="45" t="str">
        <f>"00030220"</f>
        <v>00030220</v>
      </c>
    </row>
    <row r="107" spans="1:11" ht="45" customHeight="1">
      <c r="A107" s="30">
        <v>105</v>
      </c>
      <c r="B107" s="45" t="s">
        <v>329</v>
      </c>
      <c r="C107" s="45" t="s">
        <v>1</v>
      </c>
      <c r="D107" s="45"/>
      <c r="E107" s="47">
        <v>58621</v>
      </c>
      <c r="F107" s="30">
        <v>4</v>
      </c>
      <c r="G107" s="45" t="s">
        <v>2916</v>
      </c>
      <c r="H107" s="45" t="s">
        <v>2917</v>
      </c>
      <c r="I107" s="45" t="s">
        <v>42</v>
      </c>
      <c r="J107" s="45" t="s">
        <v>138</v>
      </c>
      <c r="K107" s="45" t="str">
        <f>"00032782"</f>
        <v>00032782</v>
      </c>
    </row>
    <row r="108" spans="1:11" ht="45" customHeight="1">
      <c r="A108" s="30">
        <v>105</v>
      </c>
      <c r="B108" s="45" t="s">
        <v>333</v>
      </c>
      <c r="C108" s="45" t="s">
        <v>1</v>
      </c>
      <c r="D108" s="45"/>
      <c r="E108" s="47">
        <v>64574</v>
      </c>
      <c r="F108" s="30">
        <v>4</v>
      </c>
      <c r="G108" s="45" t="s">
        <v>2914</v>
      </c>
      <c r="H108" s="45" t="s">
        <v>2915</v>
      </c>
      <c r="I108" s="45" t="s">
        <v>42</v>
      </c>
      <c r="J108" s="45" t="s">
        <v>138</v>
      </c>
      <c r="K108" s="45" t="str">
        <f>"00031193"</f>
        <v>00031193</v>
      </c>
    </row>
    <row r="109" spans="1:11" ht="45" customHeight="1">
      <c r="A109" s="30">
        <v>105</v>
      </c>
      <c r="B109" s="45" t="s">
        <v>330</v>
      </c>
      <c r="C109" s="45" t="s">
        <v>1</v>
      </c>
      <c r="D109" s="45"/>
      <c r="E109" s="47">
        <v>63551</v>
      </c>
      <c r="F109" s="30">
        <v>4</v>
      </c>
      <c r="G109" s="45" t="s">
        <v>2922</v>
      </c>
      <c r="H109" s="45" t="s">
        <v>2915</v>
      </c>
      <c r="I109" s="45" t="s">
        <v>42</v>
      </c>
      <c r="J109" s="45" t="s">
        <v>138</v>
      </c>
      <c r="K109" s="45" t="str">
        <f>"00032563"</f>
        <v>00032563</v>
      </c>
    </row>
    <row r="110" spans="1:11" ht="45" customHeight="1">
      <c r="A110" s="30">
        <v>105</v>
      </c>
      <c r="B110" s="45" t="s">
        <v>2921</v>
      </c>
      <c r="C110" s="45" t="s">
        <v>1</v>
      </c>
      <c r="D110" s="45"/>
      <c r="E110" s="47">
        <v>46878</v>
      </c>
      <c r="F110" s="30">
        <v>4</v>
      </c>
      <c r="G110" s="45" t="s">
        <v>3404</v>
      </c>
      <c r="H110" s="45" t="s">
        <v>2920</v>
      </c>
      <c r="I110" s="45" t="s">
        <v>42</v>
      </c>
      <c r="J110" s="45" t="s">
        <v>138</v>
      </c>
      <c r="K110" s="45" t="str">
        <f>"00032287"</f>
        <v>00032287</v>
      </c>
    </row>
    <row r="111" spans="1:11" ht="45" customHeight="1">
      <c r="A111" s="30">
        <v>105</v>
      </c>
      <c r="B111" s="45" t="s">
        <v>206</v>
      </c>
      <c r="C111" s="45" t="s">
        <v>1</v>
      </c>
      <c r="D111" s="45"/>
      <c r="E111" s="47">
        <v>46300</v>
      </c>
      <c r="F111" s="30">
        <v>4</v>
      </c>
      <c r="G111" s="45" t="s">
        <v>3407</v>
      </c>
      <c r="H111" s="45" t="s">
        <v>3405</v>
      </c>
      <c r="I111" s="45" t="s">
        <v>196</v>
      </c>
      <c r="J111" s="45" t="s">
        <v>125</v>
      </c>
      <c r="K111" s="45" t="str">
        <f>"00029204"</f>
        <v>00029204</v>
      </c>
    </row>
    <row r="112" spans="1:11" ht="45" customHeight="1">
      <c r="A112" s="30">
        <v>105</v>
      </c>
      <c r="B112" s="45" t="s">
        <v>3401</v>
      </c>
      <c r="C112" s="45" t="s">
        <v>1</v>
      </c>
      <c r="D112" s="45"/>
      <c r="E112" s="47">
        <v>50582</v>
      </c>
      <c r="F112" s="30">
        <v>4</v>
      </c>
      <c r="G112" s="45" t="s">
        <v>3408</v>
      </c>
      <c r="H112" s="45" t="s">
        <v>2917</v>
      </c>
      <c r="I112" s="45" t="s">
        <v>196</v>
      </c>
      <c r="J112" s="45" t="s">
        <v>138</v>
      </c>
      <c r="K112" s="45" t="str">
        <f>"00031944"</f>
        <v>00031944</v>
      </c>
    </row>
    <row r="113" spans="1:11" ht="45" customHeight="1">
      <c r="A113" s="30">
        <v>105</v>
      </c>
      <c r="B113" s="45" t="s">
        <v>3383</v>
      </c>
      <c r="C113" s="45" t="s">
        <v>1</v>
      </c>
      <c r="D113" s="45"/>
      <c r="E113" s="47">
        <v>26182</v>
      </c>
      <c r="F113" s="30">
        <v>4</v>
      </c>
      <c r="G113" s="45" t="s">
        <v>3409</v>
      </c>
      <c r="H113" s="45" t="s">
        <v>3406</v>
      </c>
      <c r="I113" s="45" t="s">
        <v>196</v>
      </c>
      <c r="J113" s="45" t="s">
        <v>138</v>
      </c>
      <c r="K113" s="45" t="str">
        <f>"00032561"</f>
        <v>00032561</v>
      </c>
    </row>
    <row r="114" spans="1:11" ht="45" customHeight="1">
      <c r="A114" s="30"/>
      <c r="B114" s="58" t="s">
        <v>205</v>
      </c>
      <c r="C114" s="45"/>
      <c r="D114" s="45"/>
      <c r="E114" s="47">
        <f>SUM(E99:E113)</f>
        <v>640307</v>
      </c>
      <c r="F114" s="30"/>
      <c r="G114" s="45"/>
      <c r="H114" s="45"/>
      <c r="I114" s="45"/>
      <c r="J114" s="45"/>
      <c r="K114" s="45"/>
    </row>
    <row r="115" spans="1:11" ht="45" customHeight="1">
      <c r="A115" s="30"/>
      <c r="B115" s="60" t="s">
        <v>711</v>
      </c>
      <c r="C115" s="45"/>
      <c r="D115" s="45"/>
      <c r="E115" s="47"/>
      <c r="F115" s="30"/>
      <c r="G115" s="45"/>
      <c r="H115" s="45"/>
      <c r="I115" s="45"/>
      <c r="J115" s="45"/>
      <c r="K115" s="45"/>
    </row>
    <row r="116" spans="1:11" ht="45" customHeight="1">
      <c r="A116" s="30">
        <v>105</v>
      </c>
      <c r="B116" s="45" t="s">
        <v>700</v>
      </c>
      <c r="C116" s="45" t="s">
        <v>1</v>
      </c>
      <c r="D116" s="45"/>
      <c r="E116" s="47">
        <v>3486</v>
      </c>
      <c r="F116" s="30">
        <v>4</v>
      </c>
      <c r="G116" s="45" t="s">
        <v>3435</v>
      </c>
      <c r="H116" s="45" t="s">
        <v>2934</v>
      </c>
      <c r="I116" s="45" t="s">
        <v>40</v>
      </c>
      <c r="J116" s="45" t="s">
        <v>125</v>
      </c>
      <c r="K116" s="76" t="s">
        <v>3441</v>
      </c>
    </row>
    <row r="117" spans="1:11" ht="45" customHeight="1">
      <c r="A117" s="30">
        <v>105</v>
      </c>
      <c r="B117" s="45" t="s">
        <v>704</v>
      </c>
      <c r="C117" s="45" t="s">
        <v>1</v>
      </c>
      <c r="D117" s="45"/>
      <c r="E117" s="47">
        <v>42585</v>
      </c>
      <c r="F117" s="30">
        <v>4</v>
      </c>
      <c r="G117" s="45" t="s">
        <v>3436</v>
      </c>
      <c r="H117" s="45" t="s">
        <v>2941</v>
      </c>
      <c r="I117" s="45" t="s">
        <v>723</v>
      </c>
      <c r="J117" s="45" t="s">
        <v>197</v>
      </c>
      <c r="K117" s="76" t="s">
        <v>3442</v>
      </c>
    </row>
    <row r="118" spans="1:11" ht="45" customHeight="1">
      <c r="A118" s="30">
        <v>105</v>
      </c>
      <c r="B118" s="45" t="s">
        <v>2930</v>
      </c>
      <c r="C118" s="45" t="s">
        <v>1</v>
      </c>
      <c r="D118" s="45"/>
      <c r="E118" s="47">
        <v>44956</v>
      </c>
      <c r="F118" s="30">
        <v>4</v>
      </c>
      <c r="G118" s="95" t="s">
        <v>3437</v>
      </c>
      <c r="H118" s="45" t="s">
        <v>2931</v>
      </c>
      <c r="I118" s="45" t="s">
        <v>2932</v>
      </c>
      <c r="J118" s="45" t="s">
        <v>2933</v>
      </c>
      <c r="K118" s="76" t="s">
        <v>3443</v>
      </c>
    </row>
    <row r="119" spans="1:11" ht="45" customHeight="1">
      <c r="A119" s="30">
        <v>105</v>
      </c>
      <c r="B119" s="45" t="s">
        <v>1664</v>
      </c>
      <c r="C119" s="45" t="s">
        <v>1</v>
      </c>
      <c r="D119" s="45"/>
      <c r="E119" s="47">
        <v>88235</v>
      </c>
      <c r="F119" s="30">
        <v>4</v>
      </c>
      <c r="G119" s="45" t="s">
        <v>3438</v>
      </c>
      <c r="H119" s="45" t="s">
        <v>2938</v>
      </c>
      <c r="I119" s="45" t="s">
        <v>2939</v>
      </c>
      <c r="J119" s="45" t="s">
        <v>2940</v>
      </c>
      <c r="K119" s="76" t="s">
        <v>3444</v>
      </c>
    </row>
    <row r="120" spans="1:11" ht="45" customHeight="1">
      <c r="A120" s="30">
        <v>105</v>
      </c>
      <c r="B120" s="45" t="s">
        <v>2936</v>
      </c>
      <c r="C120" s="45" t="s">
        <v>1</v>
      </c>
      <c r="D120" s="45"/>
      <c r="E120" s="47">
        <v>12957</v>
      </c>
      <c r="F120" s="30">
        <v>4</v>
      </c>
      <c r="G120" s="45" t="s">
        <v>3439</v>
      </c>
      <c r="H120" s="45" t="s">
        <v>2937</v>
      </c>
      <c r="I120" s="45" t="s">
        <v>42</v>
      </c>
      <c r="J120" s="45" t="s">
        <v>138</v>
      </c>
      <c r="K120" s="45" t="str">
        <f>"00031526"</f>
        <v>00031526</v>
      </c>
    </row>
    <row r="121" spans="1:11" ht="45" customHeight="1">
      <c r="A121" s="30">
        <v>105</v>
      </c>
      <c r="B121" s="45" t="s">
        <v>1644</v>
      </c>
      <c r="C121" s="45" t="s">
        <v>1</v>
      </c>
      <c r="D121" s="45"/>
      <c r="E121" s="47">
        <v>24735</v>
      </c>
      <c r="F121" s="30">
        <v>4</v>
      </c>
      <c r="G121" s="45" t="s">
        <v>3440</v>
      </c>
      <c r="H121" s="45" t="s">
        <v>2935</v>
      </c>
      <c r="I121" s="45" t="s">
        <v>42</v>
      </c>
      <c r="J121" s="45" t="s">
        <v>138</v>
      </c>
      <c r="K121" s="45" t="str">
        <f>"00031386"</f>
        <v>00031386</v>
      </c>
    </row>
    <row r="122" spans="1:11" ht="45" customHeight="1">
      <c r="A122" s="31"/>
      <c r="B122" s="58" t="s">
        <v>710</v>
      </c>
      <c r="C122" s="31"/>
      <c r="D122" s="31"/>
      <c r="E122" s="47">
        <f>SUM(E116:E121)</f>
        <v>216954</v>
      </c>
      <c r="F122" s="31"/>
      <c r="G122" s="31"/>
      <c r="H122" s="31"/>
      <c r="I122" s="31"/>
      <c r="J122" s="31"/>
      <c r="K122" s="31"/>
    </row>
    <row r="123" spans="1:11" ht="45" customHeight="1">
      <c r="A123" s="30"/>
      <c r="B123" s="60" t="s">
        <v>724</v>
      </c>
      <c r="C123" s="45"/>
      <c r="D123" s="45"/>
      <c r="E123" s="47"/>
      <c r="F123" s="30"/>
      <c r="G123" s="45"/>
      <c r="H123" s="45"/>
      <c r="I123" s="45"/>
      <c r="J123" s="45"/>
      <c r="K123" s="45"/>
    </row>
    <row r="124" spans="1:11" ht="45" customHeight="1">
      <c r="A124" s="30">
        <v>105</v>
      </c>
      <c r="B124" s="45" t="s">
        <v>2947</v>
      </c>
      <c r="C124" s="45" t="s">
        <v>1</v>
      </c>
      <c r="D124" s="45"/>
      <c r="E124" s="47">
        <v>59653</v>
      </c>
      <c r="F124" s="30">
        <v>4</v>
      </c>
      <c r="G124" s="45" t="s">
        <v>3506</v>
      </c>
      <c r="H124" s="45" t="s">
        <v>2948</v>
      </c>
      <c r="I124" s="45" t="s">
        <v>131</v>
      </c>
      <c r="J124" s="45" t="s">
        <v>132</v>
      </c>
      <c r="K124" s="45" t="str">
        <f>"00030051"</f>
        <v>00030051</v>
      </c>
    </row>
    <row r="125" spans="1:11" ht="45" customHeight="1">
      <c r="A125" s="30">
        <v>105</v>
      </c>
      <c r="B125" s="45" t="s">
        <v>654</v>
      </c>
      <c r="C125" s="45" t="s">
        <v>1</v>
      </c>
      <c r="D125" s="45"/>
      <c r="E125" s="47">
        <v>33569</v>
      </c>
      <c r="F125" s="30">
        <v>4</v>
      </c>
      <c r="G125" s="45" t="s">
        <v>3507</v>
      </c>
      <c r="H125" s="45" t="s">
        <v>2949</v>
      </c>
      <c r="I125" s="45" t="s">
        <v>2944</v>
      </c>
      <c r="J125" s="45" t="s">
        <v>2943</v>
      </c>
      <c r="K125" s="45" t="str">
        <f>"00030411"</f>
        <v>00030411</v>
      </c>
    </row>
    <row r="126" spans="1:11" ht="45" customHeight="1">
      <c r="A126" s="30">
        <v>105</v>
      </c>
      <c r="B126" s="45" t="s">
        <v>649</v>
      </c>
      <c r="C126" s="45" t="s">
        <v>1</v>
      </c>
      <c r="D126" s="45"/>
      <c r="E126" s="47">
        <v>31698</v>
      </c>
      <c r="F126" s="30">
        <v>4</v>
      </c>
      <c r="G126" s="45" t="s">
        <v>3508</v>
      </c>
      <c r="H126" s="45" t="s">
        <v>2942</v>
      </c>
      <c r="I126" s="45" t="s">
        <v>2943</v>
      </c>
      <c r="J126" s="45" t="s">
        <v>2944</v>
      </c>
      <c r="K126" s="45" t="str">
        <f>"00029836"</f>
        <v>00029836</v>
      </c>
    </row>
    <row r="127" spans="1:11" ht="45" customHeight="1">
      <c r="A127" s="30">
        <v>105</v>
      </c>
      <c r="B127" s="45" t="s">
        <v>2945</v>
      </c>
      <c r="C127" s="45" t="s">
        <v>1</v>
      </c>
      <c r="D127" s="45"/>
      <c r="E127" s="47">
        <v>7341</v>
      </c>
      <c r="F127" s="30">
        <v>4</v>
      </c>
      <c r="G127" s="45" t="s">
        <v>3509</v>
      </c>
      <c r="H127" s="45" t="s">
        <v>2946</v>
      </c>
      <c r="I127" s="45" t="s">
        <v>42</v>
      </c>
      <c r="J127" s="45" t="s">
        <v>138</v>
      </c>
      <c r="K127" s="45" t="str">
        <f>"00031830"</f>
        <v>00031830</v>
      </c>
    </row>
    <row r="128" spans="1:11" ht="45" customHeight="1">
      <c r="A128" s="30"/>
      <c r="B128" s="58" t="s">
        <v>725</v>
      </c>
      <c r="C128" s="45"/>
      <c r="D128" s="45"/>
      <c r="E128" s="47">
        <f>SUM(E124:E127)</f>
        <v>132261</v>
      </c>
      <c r="F128" s="30"/>
      <c r="G128" s="45"/>
      <c r="H128" s="45"/>
      <c r="I128" s="45"/>
      <c r="J128" s="45"/>
      <c r="K128" s="45"/>
    </row>
    <row r="129" spans="1:11" ht="45" customHeight="1">
      <c r="A129" s="30"/>
      <c r="B129" s="60" t="s">
        <v>356</v>
      </c>
      <c r="C129" s="45"/>
      <c r="D129" s="45"/>
      <c r="E129" s="47"/>
      <c r="F129" s="30"/>
      <c r="G129" s="45"/>
      <c r="H129" s="45"/>
      <c r="I129" s="45"/>
      <c r="J129" s="45"/>
      <c r="K129" s="45"/>
    </row>
    <row r="130" spans="1:11" ht="45" customHeight="1">
      <c r="A130" s="30">
        <v>105</v>
      </c>
      <c r="B130" s="45" t="s">
        <v>339</v>
      </c>
      <c r="C130" s="45" t="s">
        <v>1</v>
      </c>
      <c r="D130" s="45"/>
      <c r="E130" s="47">
        <v>44219</v>
      </c>
      <c r="F130" s="30">
        <v>4</v>
      </c>
      <c r="G130" s="45" t="s">
        <v>4204</v>
      </c>
      <c r="H130" s="45" t="s">
        <v>1416</v>
      </c>
      <c r="I130" s="45" t="s">
        <v>42</v>
      </c>
      <c r="J130" s="45" t="s">
        <v>138</v>
      </c>
      <c r="K130" s="45" t="str">
        <f>"00032383"</f>
        <v>00032383</v>
      </c>
    </row>
    <row r="131" spans="1:11" ht="45" customHeight="1">
      <c r="A131" s="30">
        <v>105</v>
      </c>
      <c r="B131" s="45" t="s">
        <v>343</v>
      </c>
      <c r="C131" s="45" t="s">
        <v>1</v>
      </c>
      <c r="D131" s="45"/>
      <c r="E131" s="47">
        <v>27526</v>
      </c>
      <c r="F131" s="30">
        <v>4</v>
      </c>
      <c r="G131" s="45" t="s">
        <v>4205</v>
      </c>
      <c r="H131" s="45" t="s">
        <v>2130</v>
      </c>
      <c r="I131" s="45" t="s">
        <v>2960</v>
      </c>
      <c r="J131" s="45" t="s">
        <v>2961</v>
      </c>
      <c r="K131" s="45" t="str">
        <f>"00032133"</f>
        <v>00032133</v>
      </c>
    </row>
    <row r="132" spans="1:11" ht="45" customHeight="1">
      <c r="A132" s="30">
        <v>105</v>
      </c>
      <c r="B132" s="45" t="s">
        <v>342</v>
      </c>
      <c r="C132" s="45" t="s">
        <v>1</v>
      </c>
      <c r="D132" s="45"/>
      <c r="E132" s="47">
        <v>27071</v>
      </c>
      <c r="F132" s="30">
        <v>4</v>
      </c>
      <c r="G132" s="45" t="s">
        <v>4206</v>
      </c>
      <c r="H132" s="45" t="s">
        <v>2962</v>
      </c>
      <c r="I132" s="45" t="s">
        <v>43</v>
      </c>
      <c r="J132" s="45" t="s">
        <v>130</v>
      </c>
      <c r="K132" s="45" t="str">
        <f>"00032035"</f>
        <v>00032035</v>
      </c>
    </row>
    <row r="133" spans="1:11" ht="45" customHeight="1">
      <c r="A133" s="30">
        <v>105</v>
      </c>
      <c r="B133" s="45" t="s">
        <v>1853</v>
      </c>
      <c r="C133" s="45" t="s">
        <v>1</v>
      </c>
      <c r="D133" s="45"/>
      <c r="E133" s="47">
        <v>21058</v>
      </c>
      <c r="F133" s="30">
        <v>4</v>
      </c>
      <c r="G133" s="45" t="s">
        <v>4207</v>
      </c>
      <c r="H133" s="45" t="s">
        <v>1765</v>
      </c>
      <c r="I133" s="45" t="s">
        <v>2960</v>
      </c>
      <c r="J133" s="45" t="s">
        <v>2961</v>
      </c>
      <c r="K133" s="45" t="str">
        <f>"00032038"</f>
        <v>00032038</v>
      </c>
    </row>
    <row r="134" spans="1:11" ht="45" customHeight="1">
      <c r="A134" s="30">
        <v>105</v>
      </c>
      <c r="B134" s="51" t="s">
        <v>1847</v>
      </c>
      <c r="C134" s="45" t="s">
        <v>1</v>
      </c>
      <c r="D134" s="45"/>
      <c r="E134" s="47">
        <v>55583</v>
      </c>
      <c r="F134" s="30">
        <v>4</v>
      </c>
      <c r="G134" s="51" t="s">
        <v>4208</v>
      </c>
      <c r="H134" s="45" t="s">
        <v>2574</v>
      </c>
      <c r="I134" s="45" t="s">
        <v>43</v>
      </c>
      <c r="J134" s="45" t="s">
        <v>130</v>
      </c>
      <c r="K134" s="45" t="str">
        <f>"00031558"</f>
        <v>00031558</v>
      </c>
    </row>
    <row r="135" spans="1:11" ht="45" customHeight="1">
      <c r="A135" s="30">
        <v>104</v>
      </c>
      <c r="B135" s="45" t="s">
        <v>358</v>
      </c>
      <c r="C135" s="45" t="s">
        <v>1</v>
      </c>
      <c r="D135" s="45"/>
      <c r="E135" s="47">
        <v>38510</v>
      </c>
      <c r="F135" s="30">
        <v>4</v>
      </c>
      <c r="G135" s="45" t="s">
        <v>4111</v>
      </c>
      <c r="H135" s="45" t="s">
        <v>274</v>
      </c>
      <c r="I135" s="45" t="s">
        <v>40</v>
      </c>
      <c r="J135" s="45" t="s">
        <v>125</v>
      </c>
      <c r="K135" s="53" t="s">
        <v>4209</v>
      </c>
    </row>
    <row r="136" spans="1:11" ht="45" customHeight="1">
      <c r="A136" s="30">
        <v>104</v>
      </c>
      <c r="B136" s="45" t="s">
        <v>358</v>
      </c>
      <c r="C136" s="45" t="s">
        <v>1</v>
      </c>
      <c r="D136" s="45"/>
      <c r="E136" s="47">
        <v>34545</v>
      </c>
      <c r="F136" s="30">
        <v>4</v>
      </c>
      <c r="G136" s="45" t="s">
        <v>4111</v>
      </c>
      <c r="H136" s="45" t="s">
        <v>274</v>
      </c>
      <c r="I136" s="45" t="s">
        <v>40</v>
      </c>
      <c r="J136" s="45" t="s">
        <v>125</v>
      </c>
      <c r="K136" s="53" t="s">
        <v>4210</v>
      </c>
    </row>
    <row r="137" spans="1:11" ht="45" customHeight="1">
      <c r="A137" s="30"/>
      <c r="B137" s="58" t="s">
        <v>15</v>
      </c>
      <c r="C137" s="45"/>
      <c r="D137" s="45"/>
      <c r="E137" s="47">
        <f>SUM(E130:E136)</f>
        <v>248512</v>
      </c>
      <c r="F137" s="30"/>
      <c r="G137" s="45"/>
      <c r="H137" s="45"/>
      <c r="I137" s="45"/>
      <c r="J137" s="45"/>
      <c r="K137" s="45"/>
    </row>
    <row r="138" spans="1:11" ht="45" customHeight="1">
      <c r="A138" s="30"/>
      <c r="B138" s="56" t="s">
        <v>22</v>
      </c>
      <c r="C138" s="45"/>
      <c r="D138" s="45"/>
      <c r="E138" s="45"/>
      <c r="F138" s="30"/>
      <c r="G138" s="45"/>
      <c r="H138" s="45"/>
      <c r="I138" s="45"/>
      <c r="J138" s="45"/>
      <c r="K138" s="98"/>
    </row>
    <row r="139" spans="1:11" ht="45" customHeight="1">
      <c r="A139" s="30">
        <v>105</v>
      </c>
      <c r="B139" s="45" t="s">
        <v>3774</v>
      </c>
      <c r="C139" s="45" t="s">
        <v>1</v>
      </c>
      <c r="D139" s="45"/>
      <c r="E139" s="47">
        <v>6569</v>
      </c>
      <c r="F139" s="30">
        <v>4</v>
      </c>
      <c r="G139" s="45" t="s">
        <v>3775</v>
      </c>
      <c r="H139" s="45" t="s">
        <v>2261</v>
      </c>
      <c r="I139" s="45" t="s">
        <v>196</v>
      </c>
      <c r="J139" s="45" t="s">
        <v>716</v>
      </c>
      <c r="K139" s="127" t="str">
        <f>"00030760"</f>
        <v>00030760</v>
      </c>
    </row>
    <row r="140" spans="1:11" ht="45" customHeight="1">
      <c r="A140" s="30"/>
      <c r="B140" s="58" t="s">
        <v>23</v>
      </c>
      <c r="C140" s="45"/>
      <c r="D140" s="45"/>
      <c r="E140" s="47">
        <f>SUM(E139)</f>
        <v>6569</v>
      </c>
      <c r="F140" s="30"/>
      <c r="G140" s="45"/>
      <c r="H140" s="45"/>
      <c r="I140" s="45"/>
      <c r="J140" s="45"/>
      <c r="K140" s="45"/>
    </row>
    <row r="141" spans="1:11" ht="45" customHeight="1">
      <c r="A141" s="30"/>
      <c r="B141" s="56" t="s">
        <v>8</v>
      </c>
      <c r="C141" s="45"/>
      <c r="D141" s="45"/>
      <c r="E141" s="45"/>
      <c r="F141" s="30"/>
      <c r="G141" s="45"/>
      <c r="H141" s="45"/>
      <c r="I141" s="45"/>
      <c r="J141" s="45"/>
      <c r="K141" s="98"/>
    </row>
    <row r="142" spans="1:11" ht="45" customHeight="1">
      <c r="A142" s="30">
        <v>105</v>
      </c>
      <c r="B142" s="45" t="s">
        <v>3672</v>
      </c>
      <c r="C142" s="45" t="s">
        <v>1</v>
      </c>
      <c r="D142" s="45"/>
      <c r="E142" s="47">
        <v>51908</v>
      </c>
      <c r="F142" s="30">
        <v>4</v>
      </c>
      <c r="G142" s="53" t="s">
        <v>3673</v>
      </c>
      <c r="H142" s="45" t="s">
        <v>2902</v>
      </c>
      <c r="I142" s="45" t="s">
        <v>726</v>
      </c>
      <c r="J142" s="45" t="s">
        <v>727</v>
      </c>
      <c r="K142" s="128" t="s">
        <v>3684</v>
      </c>
    </row>
    <row r="143" spans="1:11" ht="45" customHeight="1">
      <c r="A143" s="30">
        <v>105</v>
      </c>
      <c r="B143" s="45" t="s">
        <v>3674</v>
      </c>
      <c r="C143" s="45" t="s">
        <v>1</v>
      </c>
      <c r="D143" s="45"/>
      <c r="E143" s="47">
        <v>18270</v>
      </c>
      <c r="F143" s="30">
        <v>4</v>
      </c>
      <c r="G143" s="49" t="s">
        <v>3675</v>
      </c>
      <c r="H143" s="45" t="s">
        <v>2894</v>
      </c>
      <c r="I143" s="45" t="s">
        <v>43</v>
      </c>
      <c r="J143" s="45" t="s">
        <v>130</v>
      </c>
      <c r="K143" s="127" t="str">
        <f>"00031212"</f>
        <v>00031212</v>
      </c>
    </row>
    <row r="144" spans="1:11" ht="45" customHeight="1">
      <c r="A144" s="30">
        <v>105</v>
      </c>
      <c r="B144" s="45" t="s">
        <v>3676</v>
      </c>
      <c r="C144" s="45" t="s">
        <v>1</v>
      </c>
      <c r="D144" s="45"/>
      <c r="E144" s="47">
        <v>1964</v>
      </c>
      <c r="F144" s="30">
        <v>4</v>
      </c>
      <c r="G144" s="49" t="s">
        <v>3677</v>
      </c>
      <c r="H144" s="45" t="s">
        <v>1528</v>
      </c>
      <c r="I144" s="45" t="s">
        <v>2903</v>
      </c>
      <c r="J144" s="45" t="s">
        <v>2904</v>
      </c>
      <c r="K144" s="128" t="s">
        <v>3686</v>
      </c>
    </row>
    <row r="145" spans="1:11" ht="45" customHeight="1">
      <c r="A145" s="30">
        <v>105</v>
      </c>
      <c r="B145" s="45" t="s">
        <v>3678</v>
      </c>
      <c r="C145" s="45" t="s">
        <v>1</v>
      </c>
      <c r="D145" s="45"/>
      <c r="E145" s="47">
        <v>16796</v>
      </c>
      <c r="F145" s="30">
        <v>4</v>
      </c>
      <c r="G145" s="76" t="s">
        <v>3683</v>
      </c>
      <c r="H145" s="45" t="s">
        <v>2899</v>
      </c>
      <c r="I145" s="45" t="s">
        <v>2900</v>
      </c>
      <c r="J145" s="45" t="s">
        <v>2901</v>
      </c>
      <c r="K145" s="127" t="str">
        <f>"00032134"</f>
        <v>00032134</v>
      </c>
    </row>
    <row r="146" spans="1:11" ht="45" customHeight="1">
      <c r="A146" s="30">
        <v>105</v>
      </c>
      <c r="B146" s="45" t="s">
        <v>3679</v>
      </c>
      <c r="C146" s="45" t="s">
        <v>1</v>
      </c>
      <c r="D146" s="45"/>
      <c r="E146" s="47">
        <v>23233</v>
      </c>
      <c r="F146" s="30">
        <v>4</v>
      </c>
      <c r="G146" s="49" t="s">
        <v>3680</v>
      </c>
      <c r="H146" s="45" t="s">
        <v>2888</v>
      </c>
      <c r="I146" s="45" t="s">
        <v>2889</v>
      </c>
      <c r="J146" s="45" t="s">
        <v>2890</v>
      </c>
      <c r="K146" s="128" t="s">
        <v>3685</v>
      </c>
    </row>
    <row r="147" spans="1:11" ht="45" customHeight="1">
      <c r="A147" s="30">
        <v>105</v>
      </c>
      <c r="B147" s="45" t="s">
        <v>733</v>
      </c>
      <c r="C147" s="45" t="s">
        <v>1</v>
      </c>
      <c r="D147" s="45"/>
      <c r="E147" s="47">
        <v>31691</v>
      </c>
      <c r="F147" s="30">
        <v>4</v>
      </c>
      <c r="G147" s="49" t="s">
        <v>3681</v>
      </c>
      <c r="H147" s="45" t="s">
        <v>2897</v>
      </c>
      <c r="I147" s="45" t="s">
        <v>43</v>
      </c>
      <c r="J147" s="45" t="s">
        <v>130</v>
      </c>
      <c r="K147" s="127" t="str">
        <f>"00032050"</f>
        <v>00032050</v>
      </c>
    </row>
    <row r="148" spans="1:11" ht="45" customHeight="1">
      <c r="A148" s="30">
        <v>105</v>
      </c>
      <c r="B148" s="45" t="s">
        <v>3676</v>
      </c>
      <c r="C148" s="45" t="s">
        <v>1</v>
      </c>
      <c r="D148" s="45"/>
      <c r="E148" s="47">
        <v>7853</v>
      </c>
      <c r="F148" s="30">
        <v>4</v>
      </c>
      <c r="G148" s="76" t="s">
        <v>3682</v>
      </c>
      <c r="H148" s="45" t="s">
        <v>1803</v>
      </c>
      <c r="I148" s="45" t="s">
        <v>40</v>
      </c>
      <c r="J148" s="45" t="s">
        <v>125</v>
      </c>
      <c r="K148" s="127" t="str">
        <f>"00033043"</f>
        <v>00033043</v>
      </c>
    </row>
    <row r="149" spans="1:11" ht="45" customHeight="1">
      <c r="A149" s="30"/>
      <c r="B149" s="58" t="s">
        <v>10</v>
      </c>
      <c r="C149" s="45"/>
      <c r="D149" s="45"/>
      <c r="E149" s="47">
        <f>SUM(E142:E148)</f>
        <v>151715</v>
      </c>
      <c r="F149" s="30"/>
      <c r="G149" s="45"/>
      <c r="H149" s="45"/>
      <c r="I149" s="45"/>
      <c r="J149" s="45"/>
      <c r="K149" s="45"/>
    </row>
    <row r="150" spans="1:11" ht="45" customHeight="1">
      <c r="A150" s="31"/>
      <c r="B150" s="60" t="s">
        <v>741</v>
      </c>
      <c r="C150" s="31"/>
      <c r="D150" s="31"/>
      <c r="E150" s="47"/>
      <c r="F150" s="31"/>
      <c r="G150" s="31"/>
      <c r="H150" s="31"/>
      <c r="I150" s="31"/>
      <c r="J150" s="31"/>
      <c r="K150" s="98"/>
    </row>
    <row r="151" spans="1:11" ht="45" customHeight="1">
      <c r="A151" s="30">
        <v>105</v>
      </c>
      <c r="B151" s="45" t="s">
        <v>3862</v>
      </c>
      <c r="C151" s="45" t="s">
        <v>1</v>
      </c>
      <c r="D151" s="45"/>
      <c r="E151" s="47">
        <v>62116</v>
      </c>
      <c r="F151" s="30">
        <v>4</v>
      </c>
      <c r="G151" s="45" t="s">
        <v>3861</v>
      </c>
      <c r="H151" s="45" t="s">
        <v>2905</v>
      </c>
      <c r="I151" s="45" t="s">
        <v>40</v>
      </c>
      <c r="J151" s="45" t="s">
        <v>125</v>
      </c>
      <c r="K151" s="128" t="s">
        <v>3863</v>
      </c>
    </row>
    <row r="152" spans="1:11" ht="45" customHeight="1">
      <c r="A152" s="31"/>
      <c r="B152" s="58" t="s">
        <v>742</v>
      </c>
      <c r="C152" s="31"/>
      <c r="D152" s="31"/>
      <c r="E152" s="47">
        <f>SUM(E151)</f>
        <v>62116</v>
      </c>
      <c r="F152" s="31"/>
      <c r="G152" s="31"/>
      <c r="H152" s="31"/>
      <c r="I152" s="31"/>
      <c r="J152" s="31"/>
      <c r="K152" s="86"/>
    </row>
    <row r="153" spans="1:11" ht="45" customHeight="1">
      <c r="A153" s="30"/>
      <c r="B153" s="56" t="s">
        <v>12</v>
      </c>
      <c r="C153" s="45"/>
      <c r="D153" s="45"/>
      <c r="E153" s="45"/>
      <c r="F153" s="30"/>
      <c r="G153" s="45"/>
      <c r="H153" s="45"/>
      <c r="I153" s="45"/>
      <c r="J153" s="45"/>
      <c r="K153" s="98"/>
    </row>
    <row r="154" spans="1:11" ht="45" customHeight="1">
      <c r="A154" s="30">
        <v>105</v>
      </c>
      <c r="B154" s="45" t="s">
        <v>748</v>
      </c>
      <c r="C154" s="45" t="s">
        <v>1</v>
      </c>
      <c r="D154" s="45"/>
      <c r="E154" s="47">
        <v>31114</v>
      </c>
      <c r="F154" s="30">
        <v>4</v>
      </c>
      <c r="G154" s="45" t="s">
        <v>3974</v>
      </c>
      <c r="H154" s="45" t="s">
        <v>1312</v>
      </c>
      <c r="I154" s="45" t="s">
        <v>2805</v>
      </c>
      <c r="J154" s="51" t="s">
        <v>2806</v>
      </c>
      <c r="K154" s="129" t="s">
        <v>3975</v>
      </c>
    </row>
    <row r="155" spans="1:11" ht="45" customHeight="1">
      <c r="A155" s="30">
        <v>105</v>
      </c>
      <c r="B155" s="51" t="s">
        <v>3976</v>
      </c>
      <c r="C155" s="45" t="s">
        <v>1</v>
      </c>
      <c r="D155" s="45"/>
      <c r="E155" s="47">
        <v>32999</v>
      </c>
      <c r="F155" s="30">
        <v>4</v>
      </c>
      <c r="G155" s="76" t="s">
        <v>3977</v>
      </c>
      <c r="H155" s="45" t="s">
        <v>2906</v>
      </c>
      <c r="I155" s="45" t="s">
        <v>722</v>
      </c>
      <c r="J155" s="45" t="s">
        <v>2832</v>
      </c>
      <c r="K155" s="129" t="s">
        <v>3978</v>
      </c>
    </row>
    <row r="156" spans="1:11" s="38" customFormat="1" ht="45" customHeight="1">
      <c r="A156" s="30">
        <v>105</v>
      </c>
      <c r="B156" s="76" t="s">
        <v>3980</v>
      </c>
      <c r="C156" s="45" t="s">
        <v>1</v>
      </c>
      <c r="D156" s="45"/>
      <c r="E156" s="47">
        <v>11997</v>
      </c>
      <c r="F156" s="30">
        <v>4</v>
      </c>
      <c r="G156" s="45" t="s">
        <v>3980</v>
      </c>
      <c r="H156" s="45" t="s">
        <v>3979</v>
      </c>
      <c r="I156" s="45" t="s">
        <v>196</v>
      </c>
      <c r="J156" s="45" t="s">
        <v>2832</v>
      </c>
      <c r="K156" s="127" t="str">
        <f>"00031553"</f>
        <v>00031553</v>
      </c>
    </row>
    <row r="157" spans="1:11" ht="45" customHeight="1">
      <c r="A157" s="30"/>
      <c r="B157" s="58" t="s">
        <v>13</v>
      </c>
      <c r="C157" s="45"/>
      <c r="D157" s="45"/>
      <c r="E157" s="47">
        <f>SUM(E154:E156)</f>
        <v>76110</v>
      </c>
      <c r="F157" s="30"/>
      <c r="G157" s="45"/>
      <c r="H157" s="45"/>
      <c r="I157" s="45"/>
      <c r="J157" s="45"/>
      <c r="K157" s="98"/>
    </row>
    <row r="158" spans="1:11" ht="45" customHeight="1">
      <c r="A158" s="30"/>
      <c r="B158" s="56" t="s">
        <v>17</v>
      </c>
      <c r="C158" s="45"/>
      <c r="D158" s="45"/>
      <c r="E158" s="45"/>
      <c r="F158" s="30"/>
      <c r="G158" s="45"/>
      <c r="H158" s="45"/>
      <c r="I158" s="45"/>
      <c r="J158" s="45"/>
      <c r="K158" s="98"/>
    </row>
    <row r="159" spans="1:11" ht="45" customHeight="1">
      <c r="A159" s="30">
        <v>105</v>
      </c>
      <c r="B159" s="51" t="s">
        <v>5501</v>
      </c>
      <c r="C159" s="45" t="s">
        <v>1</v>
      </c>
      <c r="D159" s="45"/>
      <c r="E159" s="47">
        <v>13816</v>
      </c>
      <c r="F159" s="30">
        <v>4</v>
      </c>
      <c r="G159" s="76" t="s">
        <v>5502</v>
      </c>
      <c r="H159" s="45" t="s">
        <v>819</v>
      </c>
      <c r="I159" s="45" t="s">
        <v>2964</v>
      </c>
      <c r="J159" s="45" t="s">
        <v>2965</v>
      </c>
      <c r="K159" s="127">
        <v>29243</v>
      </c>
    </row>
    <row r="160" spans="1:11" ht="45" customHeight="1">
      <c r="A160" s="30">
        <v>105</v>
      </c>
      <c r="B160" s="49" t="s">
        <v>5503</v>
      </c>
      <c r="C160" s="45" t="s">
        <v>1</v>
      </c>
      <c r="D160" s="45"/>
      <c r="E160" s="47">
        <v>62201</v>
      </c>
      <c r="F160" s="30">
        <v>4</v>
      </c>
      <c r="G160" s="53" t="s">
        <v>5504</v>
      </c>
      <c r="H160" s="45" t="s">
        <v>2967</v>
      </c>
      <c r="I160" s="45" t="s">
        <v>2968</v>
      </c>
      <c r="J160" s="45" t="s">
        <v>2969</v>
      </c>
      <c r="K160" s="127">
        <v>28867</v>
      </c>
    </row>
    <row r="161" spans="1:11" ht="45" customHeight="1">
      <c r="A161" s="30">
        <v>105</v>
      </c>
      <c r="B161" s="45" t="s">
        <v>759</v>
      </c>
      <c r="C161" s="45" t="s">
        <v>1</v>
      </c>
      <c r="D161" s="45"/>
      <c r="E161" s="47">
        <v>18608</v>
      </c>
      <c r="F161" s="30">
        <v>4</v>
      </c>
      <c r="G161" s="51" t="s">
        <v>5505</v>
      </c>
      <c r="H161" s="45" t="s">
        <v>2966</v>
      </c>
      <c r="I161" s="45" t="s">
        <v>40</v>
      </c>
      <c r="J161" s="45" t="s">
        <v>125</v>
      </c>
      <c r="K161" s="127">
        <v>32708</v>
      </c>
    </row>
    <row r="162" spans="1:11" ht="45" customHeight="1">
      <c r="A162" s="30">
        <v>105</v>
      </c>
      <c r="B162" s="45" t="s">
        <v>5506</v>
      </c>
      <c r="C162" s="45" t="s">
        <v>1</v>
      </c>
      <c r="D162" s="45"/>
      <c r="E162" s="47">
        <v>27847</v>
      </c>
      <c r="F162" s="30">
        <v>4</v>
      </c>
      <c r="G162" s="49" t="s">
        <v>5507</v>
      </c>
      <c r="H162" s="45" t="s">
        <v>1893</v>
      </c>
      <c r="I162" s="45" t="s">
        <v>43</v>
      </c>
      <c r="J162" s="45" t="s">
        <v>130</v>
      </c>
      <c r="K162" s="127">
        <v>28089</v>
      </c>
    </row>
    <row r="163" spans="1:11" ht="45" customHeight="1">
      <c r="A163" s="30">
        <v>105</v>
      </c>
      <c r="B163" s="45" t="s">
        <v>5506</v>
      </c>
      <c r="C163" s="45" t="s">
        <v>1</v>
      </c>
      <c r="D163" s="45"/>
      <c r="E163" s="47">
        <v>1608</v>
      </c>
      <c r="F163" s="30">
        <v>4</v>
      </c>
      <c r="G163" s="53" t="s">
        <v>5508</v>
      </c>
      <c r="H163" s="45" t="s">
        <v>1891</v>
      </c>
      <c r="I163" s="45" t="s">
        <v>43</v>
      </c>
      <c r="J163" s="45" t="s">
        <v>130</v>
      </c>
      <c r="K163" s="127">
        <v>28118</v>
      </c>
    </row>
    <row r="164" spans="1:11" ht="45" customHeight="1">
      <c r="A164" s="30">
        <v>104</v>
      </c>
      <c r="B164" s="45" t="s">
        <v>760</v>
      </c>
      <c r="C164" s="45" t="s">
        <v>1</v>
      </c>
      <c r="D164" s="45"/>
      <c r="E164" s="47">
        <v>-350</v>
      </c>
      <c r="F164" s="30">
        <v>4</v>
      </c>
      <c r="G164" s="45" t="s">
        <v>761</v>
      </c>
      <c r="H164" s="45" t="s">
        <v>251</v>
      </c>
      <c r="I164" s="45" t="s">
        <v>43</v>
      </c>
      <c r="J164" s="45" t="s">
        <v>130</v>
      </c>
      <c r="K164" s="130" t="s">
        <v>5509</v>
      </c>
    </row>
    <row r="165" spans="1:11" ht="45" customHeight="1">
      <c r="A165" s="30"/>
      <c r="B165" s="58" t="s">
        <v>18</v>
      </c>
      <c r="C165" s="45"/>
      <c r="D165" s="45"/>
      <c r="E165" s="47">
        <f>SUM(E159:E164)</f>
        <v>123730</v>
      </c>
      <c r="F165" s="30"/>
      <c r="G165" s="45"/>
      <c r="H165" s="45"/>
      <c r="I165" s="45"/>
      <c r="J165" s="45"/>
      <c r="K165" s="98"/>
    </row>
    <row r="166" spans="1:11" ht="45" customHeight="1">
      <c r="A166" s="30"/>
      <c r="B166" s="56" t="s">
        <v>19</v>
      </c>
      <c r="C166" s="45"/>
      <c r="D166" s="45"/>
      <c r="E166" s="45"/>
      <c r="F166" s="30"/>
      <c r="G166" s="45"/>
      <c r="H166" s="45"/>
      <c r="I166" s="45"/>
      <c r="J166" s="45"/>
      <c r="K166" s="98"/>
    </row>
    <row r="167" spans="1:11" ht="45" customHeight="1">
      <c r="A167" s="30">
        <v>105</v>
      </c>
      <c r="B167" s="45" t="s">
        <v>4421</v>
      </c>
      <c r="C167" s="45" t="s">
        <v>1</v>
      </c>
      <c r="D167" s="45"/>
      <c r="E167" s="47">
        <v>29759</v>
      </c>
      <c r="F167" s="30">
        <v>4</v>
      </c>
      <c r="G167" s="131" t="s">
        <v>4422</v>
      </c>
      <c r="H167" s="45" t="s">
        <v>2970</v>
      </c>
      <c r="I167" s="45" t="s">
        <v>722</v>
      </c>
      <c r="J167" s="45" t="s">
        <v>2832</v>
      </c>
      <c r="K167" s="127" t="str">
        <f>"00032672"</f>
        <v>00032672</v>
      </c>
    </row>
    <row r="168" spans="1:11" ht="45" customHeight="1">
      <c r="A168" s="30">
        <v>105</v>
      </c>
      <c r="B168" s="45" t="s">
        <v>4423</v>
      </c>
      <c r="C168" s="45" t="s">
        <v>1</v>
      </c>
      <c r="D168" s="45"/>
      <c r="E168" s="47">
        <v>57734</v>
      </c>
      <c r="F168" s="30">
        <v>4</v>
      </c>
      <c r="G168" s="131" t="s">
        <v>4424</v>
      </c>
      <c r="H168" s="45" t="s">
        <v>2971</v>
      </c>
      <c r="I168" s="45" t="s">
        <v>43</v>
      </c>
      <c r="J168" s="45" t="s">
        <v>130</v>
      </c>
      <c r="K168" s="127" t="str">
        <f>"00029891"</f>
        <v>00029891</v>
      </c>
    </row>
    <row r="169" spans="1:11" ht="45" customHeight="1">
      <c r="A169" s="30">
        <v>105</v>
      </c>
      <c r="B169" s="45" t="s">
        <v>4427</v>
      </c>
      <c r="C169" s="45" t="s">
        <v>1</v>
      </c>
      <c r="D169" s="45"/>
      <c r="E169" s="47">
        <v>4563</v>
      </c>
      <c r="F169" s="30">
        <v>4</v>
      </c>
      <c r="G169" s="131" t="s">
        <v>4428</v>
      </c>
      <c r="H169" s="45" t="s">
        <v>4425</v>
      </c>
      <c r="I169" s="45" t="s">
        <v>196</v>
      </c>
      <c r="J169" s="45" t="s">
        <v>4426</v>
      </c>
      <c r="K169" s="127" t="str">
        <f>"00030495"</f>
        <v>00030495</v>
      </c>
    </row>
    <row r="170" spans="1:11" ht="45" customHeight="1">
      <c r="A170" s="30"/>
      <c r="B170" s="58" t="s">
        <v>21</v>
      </c>
      <c r="C170" s="45"/>
      <c r="D170" s="45"/>
      <c r="E170" s="47">
        <f>SUM(E167:E169)</f>
        <v>92056</v>
      </c>
      <c r="F170" s="30"/>
      <c r="G170" s="45"/>
      <c r="H170" s="45"/>
      <c r="I170" s="45"/>
      <c r="J170" s="45"/>
      <c r="K170" s="98"/>
    </row>
    <row r="171" spans="1:11" ht="45" customHeight="1">
      <c r="A171" s="31"/>
      <c r="B171" s="60" t="s">
        <v>518</v>
      </c>
      <c r="C171" s="31"/>
      <c r="D171" s="31"/>
      <c r="E171" s="47"/>
      <c r="F171" s="31"/>
      <c r="G171" s="31"/>
      <c r="H171" s="31"/>
      <c r="I171" s="31"/>
      <c r="J171" s="31"/>
      <c r="K171" s="31"/>
    </row>
    <row r="172" spans="1:11" ht="45" customHeight="1">
      <c r="A172" s="30">
        <v>105</v>
      </c>
      <c r="B172" s="51" t="s">
        <v>4431</v>
      </c>
      <c r="C172" s="45" t="s">
        <v>1</v>
      </c>
      <c r="D172" s="45"/>
      <c r="E172" s="47">
        <v>70000</v>
      </c>
      <c r="F172" s="30">
        <v>4</v>
      </c>
      <c r="G172" s="131" t="s">
        <v>4432</v>
      </c>
      <c r="H172" s="45" t="s">
        <v>2972</v>
      </c>
      <c r="I172" s="45" t="s">
        <v>43</v>
      </c>
      <c r="J172" s="45" t="s">
        <v>130</v>
      </c>
      <c r="K172" s="127" t="str">
        <f>"00029641"</f>
        <v>00029641</v>
      </c>
    </row>
    <row r="173" spans="1:11" ht="45" customHeight="1">
      <c r="A173" s="30">
        <v>105</v>
      </c>
      <c r="B173" s="49" t="s">
        <v>4433</v>
      </c>
      <c r="C173" s="45" t="s">
        <v>1</v>
      </c>
      <c r="D173" s="45"/>
      <c r="E173" s="47">
        <v>74663</v>
      </c>
      <c r="F173" s="30">
        <v>4</v>
      </c>
      <c r="G173" s="131" t="s">
        <v>4434</v>
      </c>
      <c r="H173" s="45" t="s">
        <v>2973</v>
      </c>
      <c r="I173" s="45" t="s">
        <v>42</v>
      </c>
      <c r="J173" s="45" t="s">
        <v>138</v>
      </c>
      <c r="K173" s="127" t="str">
        <f>"00030048"</f>
        <v>00030048</v>
      </c>
    </row>
    <row r="174" spans="1:11" ht="45" customHeight="1">
      <c r="A174" s="31"/>
      <c r="B174" s="58" t="s">
        <v>517</v>
      </c>
      <c r="C174" s="31"/>
      <c r="D174" s="31"/>
      <c r="E174" s="47">
        <f>SUM(E172:E173)</f>
        <v>144663</v>
      </c>
      <c r="F174" s="31"/>
      <c r="G174" s="31"/>
      <c r="H174" s="31"/>
      <c r="I174" s="31"/>
      <c r="J174" s="31"/>
      <c r="K174" s="31"/>
    </row>
    <row r="175" spans="1:11" ht="45" customHeight="1">
      <c r="A175" s="30"/>
      <c r="B175" s="60" t="s">
        <v>768</v>
      </c>
      <c r="C175" s="45"/>
      <c r="D175" s="45"/>
      <c r="E175" s="47"/>
      <c r="F175" s="30"/>
      <c r="G175" s="45"/>
      <c r="H175" s="45"/>
      <c r="I175" s="45"/>
      <c r="J175" s="45"/>
      <c r="K175" s="98"/>
    </row>
    <row r="176" spans="1:11" ht="45" customHeight="1">
      <c r="A176" s="30">
        <v>105</v>
      </c>
      <c r="B176" s="45" t="s">
        <v>4553</v>
      </c>
      <c r="C176" s="45" t="s">
        <v>1</v>
      </c>
      <c r="D176" s="45"/>
      <c r="E176" s="47">
        <v>42336</v>
      </c>
      <c r="F176" s="30">
        <v>4</v>
      </c>
      <c r="G176" s="131" t="s">
        <v>4642</v>
      </c>
      <c r="H176" s="45" t="s">
        <v>2492</v>
      </c>
      <c r="I176" s="45" t="s">
        <v>42</v>
      </c>
      <c r="J176" s="45" t="s">
        <v>138</v>
      </c>
      <c r="K176" s="127" t="str">
        <f>"00028714"</f>
        <v>00028714</v>
      </c>
    </row>
    <row r="177" spans="1:11" ht="45" customHeight="1">
      <c r="A177" s="30">
        <v>105</v>
      </c>
      <c r="B177" s="76" t="s">
        <v>4643</v>
      </c>
      <c r="C177" s="45" t="s">
        <v>1</v>
      </c>
      <c r="D177" s="45"/>
      <c r="E177" s="47">
        <v>25878</v>
      </c>
      <c r="F177" s="30">
        <v>4</v>
      </c>
      <c r="G177" s="132" t="s">
        <v>4644</v>
      </c>
      <c r="H177" s="45" t="s">
        <v>2957</v>
      </c>
      <c r="I177" s="45" t="s">
        <v>126</v>
      </c>
      <c r="J177" s="45" t="s">
        <v>720</v>
      </c>
      <c r="K177" s="127" t="str">
        <f>"00028178"</f>
        <v>00028178</v>
      </c>
    </row>
    <row r="178" spans="1:11" ht="45" customHeight="1">
      <c r="A178" s="30">
        <v>105</v>
      </c>
      <c r="B178" s="51" t="s">
        <v>4645</v>
      </c>
      <c r="C178" s="45" t="s">
        <v>1</v>
      </c>
      <c r="D178" s="45"/>
      <c r="E178" s="47">
        <v>85217</v>
      </c>
      <c r="F178" s="30">
        <v>4</v>
      </c>
      <c r="G178" s="133" t="s">
        <v>4646</v>
      </c>
      <c r="H178" s="45" t="s">
        <v>2955</v>
      </c>
      <c r="I178" s="45" t="s">
        <v>43</v>
      </c>
      <c r="J178" s="45" t="s">
        <v>130</v>
      </c>
      <c r="K178" s="127" t="str">
        <f>"00030122"</f>
        <v>00030122</v>
      </c>
    </row>
    <row r="179" spans="1:11" ht="45" customHeight="1">
      <c r="A179" s="30">
        <v>105</v>
      </c>
      <c r="B179" s="51" t="s">
        <v>538</v>
      </c>
      <c r="C179" s="45" t="s">
        <v>1</v>
      </c>
      <c r="D179" s="45"/>
      <c r="E179" s="47">
        <v>47532</v>
      </c>
      <c r="F179" s="30">
        <v>4</v>
      </c>
      <c r="G179" s="134" t="s">
        <v>4655</v>
      </c>
      <c r="H179" s="45" t="s">
        <v>2958</v>
      </c>
      <c r="I179" s="45" t="s">
        <v>43</v>
      </c>
      <c r="J179" s="45" t="s">
        <v>130</v>
      </c>
      <c r="K179" s="127" t="str">
        <f>"00027882"</f>
        <v>00027882</v>
      </c>
    </row>
    <row r="180" spans="1:11" ht="45" customHeight="1">
      <c r="A180" s="30">
        <v>105</v>
      </c>
      <c r="B180" s="51" t="s">
        <v>538</v>
      </c>
      <c r="C180" s="45" t="s">
        <v>1</v>
      </c>
      <c r="D180" s="45"/>
      <c r="E180" s="47">
        <v>69772</v>
      </c>
      <c r="F180" s="30">
        <v>4</v>
      </c>
      <c r="G180" s="133" t="s">
        <v>4647</v>
      </c>
      <c r="H180" s="45" t="s">
        <v>2952</v>
      </c>
      <c r="I180" s="45" t="s">
        <v>764</v>
      </c>
      <c r="J180" s="45" t="s">
        <v>2953</v>
      </c>
      <c r="K180" s="127" t="str">
        <f>"00030073"</f>
        <v>00030073</v>
      </c>
    </row>
    <row r="181" spans="1:11" ht="45" customHeight="1">
      <c r="A181" s="30">
        <v>105</v>
      </c>
      <c r="B181" s="51" t="s">
        <v>4559</v>
      </c>
      <c r="C181" s="45" t="s">
        <v>1</v>
      </c>
      <c r="D181" s="45"/>
      <c r="E181" s="47">
        <v>44790</v>
      </c>
      <c r="F181" s="30">
        <v>4</v>
      </c>
      <c r="G181" s="131" t="s">
        <v>4648</v>
      </c>
      <c r="H181" s="45" t="s">
        <v>2951</v>
      </c>
      <c r="I181" s="45" t="s">
        <v>40</v>
      </c>
      <c r="J181" s="45" t="s">
        <v>125</v>
      </c>
      <c r="K181" s="127" t="str">
        <f>"00029039"</f>
        <v>00029039</v>
      </c>
    </row>
    <row r="182" spans="1:11" ht="45" customHeight="1">
      <c r="A182" s="30">
        <v>105</v>
      </c>
      <c r="B182" s="45" t="s">
        <v>4587</v>
      </c>
      <c r="C182" s="45" t="s">
        <v>1</v>
      </c>
      <c r="D182" s="45"/>
      <c r="E182" s="47">
        <v>48332</v>
      </c>
      <c r="F182" s="30">
        <v>4</v>
      </c>
      <c r="G182" s="131" t="s">
        <v>4649</v>
      </c>
      <c r="H182" s="45" t="s">
        <v>2954</v>
      </c>
      <c r="I182" s="45" t="s">
        <v>43</v>
      </c>
      <c r="J182" s="45" t="s">
        <v>130</v>
      </c>
      <c r="K182" s="127" t="str">
        <f>"00030027"</f>
        <v>00030027</v>
      </c>
    </row>
    <row r="183" spans="1:11" ht="45" customHeight="1">
      <c r="A183" s="30">
        <v>105</v>
      </c>
      <c r="B183" s="51" t="s">
        <v>538</v>
      </c>
      <c r="C183" s="45" t="s">
        <v>1</v>
      </c>
      <c r="D183" s="45"/>
      <c r="E183" s="47">
        <v>19900</v>
      </c>
      <c r="F183" s="30">
        <v>4</v>
      </c>
      <c r="G183" s="133" t="s">
        <v>4650</v>
      </c>
      <c r="H183" s="45" t="s">
        <v>2950</v>
      </c>
      <c r="I183" s="45" t="s">
        <v>131</v>
      </c>
      <c r="J183" s="45" t="s">
        <v>132</v>
      </c>
      <c r="K183" s="127" t="str">
        <f>"00030530"</f>
        <v>00030530</v>
      </c>
    </row>
    <row r="184" spans="1:11" ht="45" customHeight="1">
      <c r="A184" s="30">
        <v>105</v>
      </c>
      <c r="B184" s="51" t="s">
        <v>538</v>
      </c>
      <c r="C184" s="45" t="s">
        <v>1</v>
      </c>
      <c r="D184" s="45"/>
      <c r="E184" s="47">
        <v>19900</v>
      </c>
      <c r="F184" s="30">
        <v>4</v>
      </c>
      <c r="G184" s="133" t="s">
        <v>4651</v>
      </c>
      <c r="H184" s="45" t="s">
        <v>2950</v>
      </c>
      <c r="I184" s="45" t="s">
        <v>131</v>
      </c>
      <c r="J184" s="45" t="s">
        <v>132</v>
      </c>
      <c r="K184" s="127" t="str">
        <f>"00030526"</f>
        <v>00030526</v>
      </c>
    </row>
    <row r="185" spans="1:11" ht="45" customHeight="1">
      <c r="A185" s="30">
        <v>105</v>
      </c>
      <c r="B185" s="51" t="s">
        <v>538</v>
      </c>
      <c r="C185" s="45" t="s">
        <v>1</v>
      </c>
      <c r="D185" s="45"/>
      <c r="E185" s="47">
        <v>19900</v>
      </c>
      <c r="F185" s="30">
        <v>4</v>
      </c>
      <c r="G185" s="133" t="s">
        <v>4652</v>
      </c>
      <c r="H185" s="45" t="s">
        <v>2950</v>
      </c>
      <c r="I185" s="45" t="s">
        <v>131</v>
      </c>
      <c r="J185" s="45" t="s">
        <v>132</v>
      </c>
      <c r="K185" s="127" t="str">
        <f>"00030737"</f>
        <v>00030737</v>
      </c>
    </row>
    <row r="186" spans="1:11" ht="45" customHeight="1">
      <c r="A186" s="30">
        <v>105</v>
      </c>
      <c r="B186" s="45" t="s">
        <v>4653</v>
      </c>
      <c r="C186" s="45" t="s">
        <v>1</v>
      </c>
      <c r="D186" s="45"/>
      <c r="E186" s="47">
        <v>45000</v>
      </c>
      <c r="F186" s="30">
        <v>4</v>
      </c>
      <c r="G186" s="131" t="s">
        <v>4653</v>
      </c>
      <c r="H186" s="45" t="s">
        <v>2959</v>
      </c>
      <c r="I186" s="45" t="s">
        <v>43</v>
      </c>
      <c r="J186" s="45" t="s">
        <v>130</v>
      </c>
      <c r="K186" s="127" t="str">
        <f>"00029101"</f>
        <v>00029101</v>
      </c>
    </row>
    <row r="187" spans="1:11" ht="45" customHeight="1">
      <c r="A187" s="30">
        <v>105</v>
      </c>
      <c r="B187" s="45" t="s">
        <v>4654</v>
      </c>
      <c r="C187" s="45" t="s">
        <v>1</v>
      </c>
      <c r="D187" s="45"/>
      <c r="E187" s="47">
        <v>45000</v>
      </c>
      <c r="F187" s="30">
        <v>4</v>
      </c>
      <c r="G187" s="131" t="s">
        <v>4654</v>
      </c>
      <c r="H187" s="45" t="s">
        <v>1992</v>
      </c>
      <c r="I187" s="45" t="s">
        <v>43</v>
      </c>
      <c r="J187" s="45" t="s">
        <v>130</v>
      </c>
      <c r="K187" s="127" t="str">
        <f>"00029690"</f>
        <v>00029690</v>
      </c>
    </row>
    <row r="188" spans="1:11" ht="45" customHeight="1">
      <c r="A188" s="30"/>
      <c r="B188" s="58" t="s">
        <v>767</v>
      </c>
      <c r="C188" s="45"/>
      <c r="D188" s="45"/>
      <c r="E188" s="47">
        <f>SUM(E176:E187)</f>
        <v>513557</v>
      </c>
      <c r="F188" s="30"/>
      <c r="G188" s="45"/>
      <c r="H188" s="45"/>
      <c r="I188" s="45"/>
      <c r="J188" s="45"/>
      <c r="K188" s="45"/>
    </row>
    <row r="189" spans="1:11" ht="45" customHeight="1">
      <c r="A189" s="30"/>
      <c r="B189" s="60" t="s">
        <v>770</v>
      </c>
      <c r="C189" s="45"/>
      <c r="D189" s="45"/>
      <c r="E189" s="45"/>
      <c r="F189" s="30"/>
      <c r="G189" s="45"/>
      <c r="H189" s="45"/>
      <c r="I189" s="45"/>
      <c r="J189" s="45"/>
      <c r="K189" s="45"/>
    </row>
    <row r="190" spans="1:11" ht="45" customHeight="1">
      <c r="A190" s="30">
        <v>104</v>
      </c>
      <c r="B190" s="45" t="s">
        <v>4896</v>
      </c>
      <c r="C190" s="45" t="s">
        <v>1</v>
      </c>
      <c r="D190" s="45"/>
      <c r="E190" s="47">
        <v>50367</v>
      </c>
      <c r="F190" s="30">
        <v>4</v>
      </c>
      <c r="G190" s="45" t="s">
        <v>558</v>
      </c>
      <c r="H190" s="45" t="s">
        <v>4897</v>
      </c>
      <c r="I190" s="45" t="s">
        <v>4657</v>
      </c>
      <c r="J190" s="45" t="s">
        <v>130</v>
      </c>
      <c r="K190" s="135" t="s">
        <v>4918</v>
      </c>
    </row>
    <row r="191" spans="1:11" ht="45" customHeight="1">
      <c r="A191" s="30"/>
      <c r="B191" s="58" t="s">
        <v>769</v>
      </c>
      <c r="C191" s="45"/>
      <c r="D191" s="45"/>
      <c r="E191" s="47">
        <f>SUM(E190)</f>
        <v>50367</v>
      </c>
      <c r="F191" s="30"/>
      <c r="G191" s="45"/>
      <c r="H191" s="45"/>
      <c r="I191" s="45"/>
      <c r="J191" s="45"/>
      <c r="K191" s="98"/>
    </row>
    <row r="192" spans="1:11" ht="45" customHeight="1">
      <c r="A192" s="30"/>
      <c r="B192" s="56" t="s">
        <v>26</v>
      </c>
      <c r="C192" s="45"/>
      <c r="D192" s="45"/>
      <c r="E192" s="45"/>
      <c r="F192" s="30"/>
      <c r="G192" s="45"/>
      <c r="H192" s="45"/>
      <c r="I192" s="45"/>
      <c r="J192" s="45"/>
      <c r="K192" s="98"/>
    </row>
    <row r="193" spans="1:11" ht="45" customHeight="1">
      <c r="A193" s="30">
        <v>105</v>
      </c>
      <c r="B193" s="45" t="s">
        <v>4813</v>
      </c>
      <c r="C193" s="45" t="s">
        <v>1</v>
      </c>
      <c r="D193" s="45"/>
      <c r="E193" s="47">
        <v>70462</v>
      </c>
      <c r="F193" s="30">
        <v>4</v>
      </c>
      <c r="G193" s="131" t="s">
        <v>4814</v>
      </c>
      <c r="H193" s="45" t="s">
        <v>2974</v>
      </c>
      <c r="I193" s="45" t="s">
        <v>126</v>
      </c>
      <c r="J193" s="45" t="s">
        <v>127</v>
      </c>
      <c r="K193" s="130" t="s">
        <v>4815</v>
      </c>
    </row>
    <row r="194" spans="1:11" ht="45" customHeight="1">
      <c r="A194" s="30">
        <v>105</v>
      </c>
      <c r="B194" s="45" t="s">
        <v>4817</v>
      </c>
      <c r="C194" s="45" t="s">
        <v>1</v>
      </c>
      <c r="D194" s="45"/>
      <c r="E194" s="47">
        <v>54736</v>
      </c>
      <c r="F194" s="30">
        <v>4</v>
      </c>
      <c r="G194" s="131" t="s">
        <v>4818</v>
      </c>
      <c r="H194" s="45" t="s">
        <v>4816</v>
      </c>
      <c r="I194" s="45" t="s">
        <v>196</v>
      </c>
      <c r="J194" s="45" t="s">
        <v>130</v>
      </c>
      <c r="K194" s="127" t="s">
        <v>4819</v>
      </c>
    </row>
    <row r="195" spans="1:11" ht="45" customHeight="1">
      <c r="A195" s="30">
        <v>104</v>
      </c>
      <c r="B195" s="45" t="s">
        <v>776</v>
      </c>
      <c r="C195" s="45" t="s">
        <v>38</v>
      </c>
      <c r="D195" s="45"/>
      <c r="E195" s="47">
        <v>-114254</v>
      </c>
      <c r="F195" s="30">
        <v>4</v>
      </c>
      <c r="G195" s="131" t="s">
        <v>777</v>
      </c>
      <c r="H195" s="45" t="s">
        <v>774</v>
      </c>
      <c r="I195" s="45" t="s">
        <v>177</v>
      </c>
      <c r="J195" s="45" t="s">
        <v>775</v>
      </c>
      <c r="K195" s="75" t="s">
        <v>4779</v>
      </c>
    </row>
    <row r="196" spans="1:11" ht="45" customHeight="1">
      <c r="A196" s="30"/>
      <c r="B196" s="58" t="s">
        <v>27</v>
      </c>
      <c r="C196" s="45"/>
      <c r="D196" s="45"/>
      <c r="E196" s="47">
        <f>SUM(E193:E195)</f>
        <v>10944</v>
      </c>
      <c r="F196" s="30"/>
      <c r="G196" s="45"/>
      <c r="H196" s="45"/>
      <c r="I196" s="45"/>
      <c r="J196" s="45"/>
      <c r="K196" s="45"/>
    </row>
    <row r="197" spans="1:11" ht="45" customHeight="1">
      <c r="A197" s="30"/>
      <c r="B197" s="60" t="s">
        <v>601</v>
      </c>
      <c r="C197" s="45"/>
      <c r="D197" s="45"/>
      <c r="E197" s="47"/>
      <c r="F197" s="30"/>
      <c r="G197" s="45"/>
      <c r="H197" s="45"/>
      <c r="I197" s="45"/>
      <c r="J197" s="45"/>
      <c r="K197" s="45"/>
    </row>
    <row r="198" spans="1:11" ht="45" customHeight="1">
      <c r="A198" s="30">
        <v>105</v>
      </c>
      <c r="B198" s="45" t="s">
        <v>778</v>
      </c>
      <c r="C198" s="45" t="s">
        <v>1</v>
      </c>
      <c r="D198" s="45"/>
      <c r="E198" s="47">
        <v>8984</v>
      </c>
      <c r="F198" s="30">
        <v>4</v>
      </c>
      <c r="G198" s="45" t="s">
        <v>4976</v>
      </c>
      <c r="H198" s="45" t="s">
        <v>2975</v>
      </c>
      <c r="I198" s="45" t="s">
        <v>40</v>
      </c>
      <c r="J198" s="45" t="s">
        <v>125</v>
      </c>
      <c r="K198" s="127" t="str">
        <f>"00030721"</f>
        <v>00030721</v>
      </c>
    </row>
    <row r="199" spans="1:11" ht="45" customHeight="1">
      <c r="A199" s="30">
        <v>105</v>
      </c>
      <c r="B199" s="45" t="s">
        <v>4978</v>
      </c>
      <c r="C199" s="45" t="s">
        <v>1</v>
      </c>
      <c r="D199" s="45"/>
      <c r="E199" s="47">
        <v>29018</v>
      </c>
      <c r="F199" s="30">
        <v>4</v>
      </c>
      <c r="G199" s="45" t="s">
        <v>4979</v>
      </c>
      <c r="H199" s="45" t="s">
        <v>4977</v>
      </c>
      <c r="I199" s="45" t="s">
        <v>196</v>
      </c>
      <c r="J199" s="45" t="s">
        <v>130</v>
      </c>
      <c r="K199" s="127" t="str">
        <f>"00032844"</f>
        <v>00032844</v>
      </c>
    </row>
    <row r="200" spans="1:11" ht="45" customHeight="1">
      <c r="A200" s="31"/>
      <c r="B200" s="58" t="s">
        <v>529</v>
      </c>
      <c r="C200" s="31"/>
      <c r="D200" s="31"/>
      <c r="E200" s="47">
        <f>SUM(E198:E199)</f>
        <v>38002</v>
      </c>
      <c r="F200" s="31"/>
      <c r="G200" s="31"/>
      <c r="H200" s="31"/>
      <c r="I200" s="31"/>
      <c r="J200" s="31"/>
      <c r="K200" s="31"/>
    </row>
    <row r="201" spans="1:11" ht="45" customHeight="1">
      <c r="A201" s="30"/>
      <c r="B201" s="56" t="s">
        <v>28</v>
      </c>
      <c r="C201" s="45"/>
      <c r="D201" s="45"/>
      <c r="E201" s="45"/>
      <c r="F201" s="30"/>
      <c r="G201" s="45"/>
      <c r="H201" s="45"/>
      <c r="I201" s="45"/>
      <c r="J201" s="45"/>
      <c r="K201" s="98"/>
    </row>
    <row r="202" spans="1:11" ht="45" customHeight="1">
      <c r="A202" s="30">
        <v>105</v>
      </c>
      <c r="B202" s="45" t="s">
        <v>610</v>
      </c>
      <c r="C202" s="45" t="s">
        <v>1</v>
      </c>
      <c r="D202" s="45"/>
      <c r="E202" s="47">
        <v>30695</v>
      </c>
      <c r="F202" s="30">
        <v>4</v>
      </c>
      <c r="G202" s="45" t="s">
        <v>5136</v>
      </c>
      <c r="H202" s="45" t="s">
        <v>2977</v>
      </c>
      <c r="I202" s="45" t="s">
        <v>40</v>
      </c>
      <c r="J202" s="45" t="s">
        <v>125</v>
      </c>
      <c r="K202" s="127" t="str">
        <f>"00028526"</f>
        <v>00028526</v>
      </c>
    </row>
    <row r="203" spans="1:11" ht="45" customHeight="1">
      <c r="A203" s="30">
        <v>105</v>
      </c>
      <c r="B203" s="45" t="s">
        <v>611</v>
      </c>
      <c r="C203" s="45" t="s">
        <v>1</v>
      </c>
      <c r="D203" s="45"/>
      <c r="E203" s="47">
        <v>9498</v>
      </c>
      <c r="F203" s="30">
        <v>4</v>
      </c>
      <c r="G203" s="45" t="s">
        <v>5137</v>
      </c>
      <c r="H203" s="45" t="s">
        <v>2976</v>
      </c>
      <c r="I203" s="45" t="s">
        <v>42</v>
      </c>
      <c r="J203" s="45" t="s">
        <v>138</v>
      </c>
      <c r="K203" s="127" t="str">
        <f>"00030497"</f>
        <v>00030497</v>
      </c>
    </row>
    <row r="204" spans="1:11" ht="45" customHeight="1">
      <c r="A204" s="30"/>
      <c r="B204" s="58" t="s">
        <v>29</v>
      </c>
      <c r="C204" s="45"/>
      <c r="D204" s="45"/>
      <c r="E204" s="47">
        <f>SUM(E202:E203)</f>
        <v>40193</v>
      </c>
      <c r="F204" s="30"/>
      <c r="G204" s="45"/>
      <c r="H204" s="45"/>
      <c r="I204" s="45"/>
      <c r="J204" s="45"/>
      <c r="K204" s="45"/>
    </row>
    <row r="205" spans="1:11" ht="45" customHeight="1">
      <c r="A205" s="30"/>
      <c r="B205" s="56" t="s">
        <v>68</v>
      </c>
      <c r="C205" s="45"/>
      <c r="D205" s="45"/>
      <c r="E205" s="45"/>
      <c r="F205" s="30"/>
      <c r="G205" s="45"/>
      <c r="H205" s="45"/>
      <c r="I205" s="45"/>
      <c r="J205" s="45"/>
      <c r="K205" s="98"/>
    </row>
    <row r="206" spans="1:11" ht="45" customHeight="1">
      <c r="A206" s="30">
        <v>105</v>
      </c>
      <c r="B206" s="45" t="s">
        <v>613</v>
      </c>
      <c r="C206" s="45" t="s">
        <v>1</v>
      </c>
      <c r="D206" s="45"/>
      <c r="E206" s="47">
        <v>71896</v>
      </c>
      <c r="F206" s="30">
        <v>4</v>
      </c>
      <c r="G206" s="45" t="s">
        <v>5331</v>
      </c>
      <c r="H206" s="45" t="s">
        <v>2868</v>
      </c>
      <c r="I206" s="45" t="s">
        <v>42</v>
      </c>
      <c r="J206" s="45" t="s">
        <v>138</v>
      </c>
      <c r="K206" s="128" t="s">
        <v>5343</v>
      </c>
    </row>
    <row r="207" spans="1:11" ht="45" customHeight="1">
      <c r="A207" s="30">
        <v>105</v>
      </c>
      <c r="B207" s="45" t="s">
        <v>5226</v>
      </c>
      <c r="C207" s="45" t="s">
        <v>1</v>
      </c>
      <c r="D207" s="45"/>
      <c r="E207" s="47">
        <v>84561</v>
      </c>
      <c r="F207" s="30">
        <v>4</v>
      </c>
      <c r="G207" s="45" t="s">
        <v>5332</v>
      </c>
      <c r="H207" s="45" t="s">
        <v>2866</v>
      </c>
      <c r="I207" s="45" t="s">
        <v>42</v>
      </c>
      <c r="J207" s="45" t="s">
        <v>138</v>
      </c>
      <c r="K207" s="128" t="s">
        <v>5344</v>
      </c>
    </row>
    <row r="208" spans="1:11" ht="45" customHeight="1">
      <c r="A208" s="30">
        <v>105</v>
      </c>
      <c r="B208" s="45" t="s">
        <v>615</v>
      </c>
      <c r="C208" s="45" t="s">
        <v>1</v>
      </c>
      <c r="D208" s="45"/>
      <c r="E208" s="47">
        <v>50000</v>
      </c>
      <c r="F208" s="30">
        <v>4</v>
      </c>
      <c r="G208" s="45" t="s">
        <v>5333</v>
      </c>
      <c r="H208" s="45" t="s">
        <v>2866</v>
      </c>
      <c r="I208" s="45" t="s">
        <v>42</v>
      </c>
      <c r="J208" s="45" t="s">
        <v>138</v>
      </c>
      <c r="K208" s="128" t="s">
        <v>5345</v>
      </c>
    </row>
    <row r="209" spans="1:11" ht="45" customHeight="1">
      <c r="A209" s="30">
        <v>105</v>
      </c>
      <c r="B209" s="45" t="s">
        <v>5176</v>
      </c>
      <c r="C209" s="45" t="s">
        <v>1</v>
      </c>
      <c r="D209" s="45"/>
      <c r="E209" s="47">
        <v>35000</v>
      </c>
      <c r="F209" s="30">
        <v>4</v>
      </c>
      <c r="G209" s="45" t="s">
        <v>5334</v>
      </c>
      <c r="H209" s="45" t="s">
        <v>1377</v>
      </c>
      <c r="I209" s="45" t="s">
        <v>43</v>
      </c>
      <c r="J209" s="45" t="s">
        <v>130</v>
      </c>
      <c r="K209" s="128" t="s">
        <v>5346</v>
      </c>
    </row>
    <row r="210" spans="1:11" ht="45" customHeight="1">
      <c r="A210" s="30">
        <v>105</v>
      </c>
      <c r="B210" s="45" t="s">
        <v>5335</v>
      </c>
      <c r="C210" s="45" t="s">
        <v>1</v>
      </c>
      <c r="D210" s="45"/>
      <c r="E210" s="47">
        <v>46762</v>
      </c>
      <c r="F210" s="30">
        <v>4</v>
      </c>
      <c r="G210" s="45" t="s">
        <v>5336</v>
      </c>
      <c r="H210" s="45" t="s">
        <v>2978</v>
      </c>
      <c r="I210" s="45" t="s">
        <v>2786</v>
      </c>
      <c r="J210" s="45" t="s">
        <v>2787</v>
      </c>
      <c r="K210" s="128" t="s">
        <v>5347</v>
      </c>
    </row>
    <row r="211" spans="1:11" ht="45" customHeight="1">
      <c r="A211" s="30">
        <v>105</v>
      </c>
      <c r="B211" s="45" t="s">
        <v>618</v>
      </c>
      <c r="C211" s="45" t="s">
        <v>1</v>
      </c>
      <c r="D211" s="45"/>
      <c r="E211" s="47">
        <v>36861</v>
      </c>
      <c r="F211" s="30">
        <v>4</v>
      </c>
      <c r="G211" s="45" t="s">
        <v>5337</v>
      </c>
      <c r="H211" s="45" t="s">
        <v>934</v>
      </c>
      <c r="I211" s="45" t="s">
        <v>126</v>
      </c>
      <c r="J211" s="45" t="s">
        <v>720</v>
      </c>
      <c r="K211" s="128" t="s">
        <v>5348</v>
      </c>
    </row>
    <row r="212" spans="1:11" ht="45" customHeight="1">
      <c r="A212" s="30">
        <v>105</v>
      </c>
      <c r="B212" s="45" t="s">
        <v>5185</v>
      </c>
      <c r="C212" s="45" t="s">
        <v>1</v>
      </c>
      <c r="D212" s="45"/>
      <c r="E212" s="47">
        <v>63582</v>
      </c>
      <c r="F212" s="30">
        <v>4</v>
      </c>
      <c r="G212" s="51" t="s">
        <v>5338</v>
      </c>
      <c r="H212" s="45" t="s">
        <v>2024</v>
      </c>
      <c r="I212" s="45" t="s">
        <v>64</v>
      </c>
      <c r="J212" s="45" t="s">
        <v>732</v>
      </c>
      <c r="K212" s="128" t="s">
        <v>5349</v>
      </c>
    </row>
    <row r="213" spans="1:11" ht="45" customHeight="1">
      <c r="A213" s="30">
        <v>105</v>
      </c>
      <c r="B213" s="45" t="s">
        <v>5289</v>
      </c>
      <c r="C213" s="45" t="s">
        <v>1</v>
      </c>
      <c r="D213" s="45"/>
      <c r="E213" s="47">
        <v>15600</v>
      </c>
      <c r="F213" s="30">
        <v>4</v>
      </c>
      <c r="G213" s="45" t="s">
        <v>5341</v>
      </c>
      <c r="H213" s="45" t="s">
        <v>5339</v>
      </c>
      <c r="I213" s="45" t="s">
        <v>196</v>
      </c>
      <c r="J213" s="45" t="s">
        <v>5340</v>
      </c>
      <c r="K213" s="127" t="str">
        <f>"00027024"</f>
        <v>00027024</v>
      </c>
    </row>
    <row r="214" spans="1:11" ht="45" customHeight="1">
      <c r="A214" s="30">
        <v>105</v>
      </c>
      <c r="B214" s="45" t="s">
        <v>5289</v>
      </c>
      <c r="C214" s="45" t="s">
        <v>1</v>
      </c>
      <c r="D214" s="45"/>
      <c r="E214" s="47">
        <v>27412</v>
      </c>
      <c r="F214" s="30">
        <v>4</v>
      </c>
      <c r="G214" s="45" t="s">
        <v>5342</v>
      </c>
      <c r="H214" s="45" t="s">
        <v>2269</v>
      </c>
      <c r="I214" s="45" t="s">
        <v>196</v>
      </c>
      <c r="J214" s="45" t="s">
        <v>125</v>
      </c>
      <c r="K214" s="127" t="str">
        <f>"00030751"</f>
        <v>00030751</v>
      </c>
    </row>
    <row r="215" spans="1:11" ht="45" customHeight="1">
      <c r="A215" s="30"/>
      <c r="B215" s="58" t="s">
        <v>67</v>
      </c>
      <c r="C215" s="45"/>
      <c r="D215" s="45"/>
      <c r="E215" s="47">
        <f>SUM(E206:E214)</f>
        <v>431674</v>
      </c>
      <c r="F215" s="30"/>
      <c r="G215" s="45"/>
      <c r="H215" s="45"/>
      <c r="I215" s="45"/>
      <c r="J215" s="45"/>
      <c r="K215" s="45"/>
    </row>
    <row r="216" spans="1:11" ht="45" customHeight="1">
      <c r="A216" s="30">
        <v>105</v>
      </c>
      <c r="B216" s="45" t="s">
        <v>0</v>
      </c>
      <c r="C216" s="45" t="s">
        <v>1</v>
      </c>
      <c r="D216" s="46">
        <v>265000</v>
      </c>
      <c r="E216" s="47"/>
      <c r="F216" s="30">
        <v>4</v>
      </c>
      <c r="G216" s="45" t="s">
        <v>5496</v>
      </c>
      <c r="H216" s="45"/>
      <c r="I216" s="45" t="s">
        <v>2781</v>
      </c>
      <c r="J216" s="45"/>
      <c r="K216" s="45" t="str">
        <f>"　"</f>
        <v>　</v>
      </c>
    </row>
    <row r="217" spans="1:11" ht="45" customHeight="1">
      <c r="A217" s="30">
        <v>105</v>
      </c>
      <c r="B217" s="45" t="s">
        <v>3753</v>
      </c>
      <c r="C217" s="45" t="s">
        <v>1</v>
      </c>
      <c r="D217" s="45"/>
      <c r="E217" s="47">
        <v>50027</v>
      </c>
      <c r="F217" s="30">
        <v>4</v>
      </c>
      <c r="G217" s="45" t="s">
        <v>2979</v>
      </c>
      <c r="H217" s="45" t="s">
        <v>2980</v>
      </c>
      <c r="I217" s="45" t="s">
        <v>2981</v>
      </c>
      <c r="J217" s="45" t="s">
        <v>2982</v>
      </c>
      <c r="K217" s="45" t="str">
        <f>"00027868"</f>
        <v>00027868</v>
      </c>
    </row>
    <row r="218" spans="1:11" ht="45" customHeight="1">
      <c r="A218" s="30">
        <v>105</v>
      </c>
      <c r="B218" s="45" t="s">
        <v>0</v>
      </c>
      <c r="C218" s="45" t="s">
        <v>1</v>
      </c>
      <c r="D218" s="46">
        <v>350000</v>
      </c>
      <c r="E218" s="47"/>
      <c r="F218" s="30">
        <v>4</v>
      </c>
      <c r="G218" s="45" t="s">
        <v>5497</v>
      </c>
      <c r="H218" s="45"/>
      <c r="I218" s="45" t="s">
        <v>2781</v>
      </c>
      <c r="J218" s="45"/>
      <c r="K218" s="45" t="str">
        <f>"　"</f>
        <v>　</v>
      </c>
    </row>
    <row r="219" spans="1:11" ht="45" customHeight="1">
      <c r="A219" s="30">
        <v>105</v>
      </c>
      <c r="B219" s="45" t="s">
        <v>32</v>
      </c>
      <c r="C219" s="45" t="s">
        <v>1</v>
      </c>
      <c r="D219" s="45"/>
      <c r="E219" s="47">
        <v>72320</v>
      </c>
      <c r="F219" s="30">
        <v>4</v>
      </c>
      <c r="G219" s="45" t="s">
        <v>534</v>
      </c>
      <c r="H219" s="45" t="s">
        <v>2983</v>
      </c>
      <c r="I219" s="45" t="s">
        <v>126</v>
      </c>
      <c r="J219" s="45" t="s">
        <v>127</v>
      </c>
      <c r="K219" s="45" t="str">
        <f>"00031197"</f>
        <v>00031197</v>
      </c>
    </row>
    <row r="220" spans="1:11" ht="45" customHeight="1">
      <c r="A220" s="30">
        <v>105</v>
      </c>
      <c r="B220" s="45" t="s">
        <v>32</v>
      </c>
      <c r="C220" s="45" t="s">
        <v>1</v>
      </c>
      <c r="D220" s="45"/>
      <c r="E220" s="47">
        <v>38834</v>
      </c>
      <c r="F220" s="30">
        <v>4</v>
      </c>
      <c r="G220" s="45" t="s">
        <v>2984</v>
      </c>
      <c r="H220" s="45" t="s">
        <v>2885</v>
      </c>
      <c r="I220" s="45" t="s">
        <v>2985</v>
      </c>
      <c r="J220" s="45" t="s">
        <v>2986</v>
      </c>
      <c r="K220" s="45" t="str">
        <f>"00031292"</f>
        <v>00031292</v>
      </c>
    </row>
    <row r="221" spans="1:11" ht="45" customHeight="1">
      <c r="A221" s="30">
        <v>105</v>
      </c>
      <c r="B221" s="45" t="s">
        <v>32</v>
      </c>
      <c r="C221" s="45" t="s">
        <v>1</v>
      </c>
      <c r="D221" s="45"/>
      <c r="E221" s="47">
        <v>44437</v>
      </c>
      <c r="F221" s="30">
        <v>4</v>
      </c>
      <c r="G221" s="76" t="s">
        <v>2987</v>
      </c>
      <c r="H221" s="45" t="s">
        <v>2988</v>
      </c>
      <c r="I221" s="45" t="s">
        <v>2989</v>
      </c>
      <c r="J221" s="45" t="s">
        <v>2990</v>
      </c>
      <c r="K221" s="45" t="str">
        <f>"00030877"</f>
        <v>00030877</v>
      </c>
    </row>
    <row r="222" spans="1:11" ht="45" customHeight="1">
      <c r="A222" s="30">
        <v>105</v>
      </c>
      <c r="B222" s="45" t="s">
        <v>186</v>
      </c>
      <c r="C222" s="45" t="s">
        <v>1</v>
      </c>
      <c r="D222" s="46">
        <v>200000</v>
      </c>
      <c r="E222" s="47"/>
      <c r="F222" s="30">
        <v>4</v>
      </c>
      <c r="G222" s="45" t="s">
        <v>5498</v>
      </c>
      <c r="H222" s="45"/>
      <c r="I222" s="45" t="s">
        <v>2781</v>
      </c>
      <c r="J222" s="45"/>
      <c r="K222" s="45" t="str">
        <f>"　"</f>
        <v>　</v>
      </c>
    </row>
    <row r="223" spans="1:11" ht="45" customHeight="1">
      <c r="A223" s="30">
        <v>105</v>
      </c>
      <c r="B223" s="45" t="s">
        <v>4993</v>
      </c>
      <c r="C223" s="45" t="s">
        <v>1</v>
      </c>
      <c r="D223" s="45"/>
      <c r="E223" s="47">
        <v>51823</v>
      </c>
      <c r="F223" s="30">
        <v>4</v>
      </c>
      <c r="G223" s="45" t="s">
        <v>2991</v>
      </c>
      <c r="H223" s="45" t="s">
        <v>2992</v>
      </c>
      <c r="I223" s="45" t="s">
        <v>133</v>
      </c>
      <c r="J223" s="45" t="s">
        <v>134</v>
      </c>
      <c r="K223" s="45" t="str">
        <f>"00028850"</f>
        <v>00028850</v>
      </c>
    </row>
    <row r="224" spans="1:11" ht="45" customHeight="1">
      <c r="A224" s="30">
        <v>105</v>
      </c>
      <c r="B224" s="45" t="s">
        <v>4993</v>
      </c>
      <c r="C224" s="45" t="s">
        <v>1</v>
      </c>
      <c r="D224" s="45"/>
      <c r="E224" s="47">
        <v>49318</v>
      </c>
      <c r="F224" s="30">
        <v>4</v>
      </c>
      <c r="G224" s="45" t="s">
        <v>2991</v>
      </c>
      <c r="H224" s="45" t="s">
        <v>2992</v>
      </c>
      <c r="I224" s="45" t="s">
        <v>133</v>
      </c>
      <c r="J224" s="45" t="s">
        <v>134</v>
      </c>
      <c r="K224" s="45" t="str">
        <f>"00028854"</f>
        <v>00028854</v>
      </c>
    </row>
    <row r="225" spans="1:11" ht="45" customHeight="1">
      <c r="A225" s="30">
        <v>105</v>
      </c>
      <c r="B225" s="45" t="s">
        <v>4993</v>
      </c>
      <c r="C225" s="45" t="s">
        <v>1</v>
      </c>
      <c r="D225" s="45"/>
      <c r="E225" s="47">
        <v>50573</v>
      </c>
      <c r="F225" s="30">
        <v>4</v>
      </c>
      <c r="G225" s="45" t="s">
        <v>2991</v>
      </c>
      <c r="H225" s="45" t="s">
        <v>2992</v>
      </c>
      <c r="I225" s="45" t="s">
        <v>133</v>
      </c>
      <c r="J225" s="45" t="s">
        <v>134</v>
      </c>
      <c r="K225" s="45" t="str">
        <f>"00028847"</f>
        <v>00028847</v>
      </c>
    </row>
    <row r="226" spans="1:11" ht="45" customHeight="1">
      <c r="A226" s="30">
        <v>105</v>
      </c>
      <c r="B226" s="45" t="s">
        <v>4993</v>
      </c>
      <c r="C226" s="45" t="s">
        <v>1</v>
      </c>
      <c r="D226" s="45"/>
      <c r="E226" s="47">
        <v>50559</v>
      </c>
      <c r="F226" s="30">
        <v>4</v>
      </c>
      <c r="G226" s="45" t="s">
        <v>2991</v>
      </c>
      <c r="H226" s="45" t="s">
        <v>2992</v>
      </c>
      <c r="I226" s="45" t="s">
        <v>133</v>
      </c>
      <c r="J226" s="45" t="s">
        <v>134</v>
      </c>
      <c r="K226" s="45" t="str">
        <f>"00028857"</f>
        <v>00028857</v>
      </c>
    </row>
    <row r="227" spans="1:11" ht="45" customHeight="1">
      <c r="A227" s="30">
        <v>105</v>
      </c>
      <c r="B227" s="45" t="s">
        <v>4993</v>
      </c>
      <c r="C227" s="45" t="s">
        <v>1</v>
      </c>
      <c r="D227" s="45"/>
      <c r="E227" s="47">
        <v>22774</v>
      </c>
      <c r="F227" s="30">
        <v>4</v>
      </c>
      <c r="G227" s="76" t="s">
        <v>2993</v>
      </c>
      <c r="H227" s="45" t="s">
        <v>2994</v>
      </c>
      <c r="I227" s="45" t="s">
        <v>40</v>
      </c>
      <c r="J227" s="45" t="s">
        <v>125</v>
      </c>
      <c r="K227" s="45" t="str">
        <f>"00030859"</f>
        <v>00030859</v>
      </c>
    </row>
    <row r="228" spans="1:11" ht="45" customHeight="1">
      <c r="A228" s="30">
        <v>105</v>
      </c>
      <c r="B228" s="45" t="s">
        <v>4993</v>
      </c>
      <c r="C228" s="45" t="s">
        <v>1</v>
      </c>
      <c r="D228" s="45"/>
      <c r="E228" s="47">
        <v>52178</v>
      </c>
      <c r="F228" s="30">
        <v>4</v>
      </c>
      <c r="G228" s="45" t="s">
        <v>2991</v>
      </c>
      <c r="H228" s="45" t="s">
        <v>2992</v>
      </c>
      <c r="I228" s="45" t="s">
        <v>133</v>
      </c>
      <c r="J228" s="45" t="s">
        <v>134</v>
      </c>
      <c r="K228" s="45" t="str">
        <f>"00028856"</f>
        <v>00028856</v>
      </c>
    </row>
    <row r="229" spans="1:11" ht="45" customHeight="1">
      <c r="A229" s="30">
        <v>105</v>
      </c>
      <c r="B229" s="45" t="s">
        <v>4993</v>
      </c>
      <c r="C229" s="45" t="s">
        <v>1</v>
      </c>
      <c r="D229" s="45"/>
      <c r="E229" s="47">
        <v>22774</v>
      </c>
      <c r="F229" s="30">
        <v>4</v>
      </c>
      <c r="G229" s="76" t="s">
        <v>2993</v>
      </c>
      <c r="H229" s="45" t="s">
        <v>2994</v>
      </c>
      <c r="I229" s="45" t="s">
        <v>40</v>
      </c>
      <c r="J229" s="45" t="s">
        <v>125</v>
      </c>
      <c r="K229" s="45" t="str">
        <f>"00030860"</f>
        <v>00030860</v>
      </c>
    </row>
    <row r="230" spans="1:11" ht="45" customHeight="1">
      <c r="A230" s="30">
        <v>105</v>
      </c>
      <c r="B230" s="45" t="s">
        <v>186</v>
      </c>
      <c r="C230" s="45" t="s">
        <v>1</v>
      </c>
      <c r="D230" s="47">
        <v>224000</v>
      </c>
      <c r="E230" s="45"/>
      <c r="F230" s="30">
        <v>4</v>
      </c>
      <c r="G230" s="45" t="s">
        <v>5499</v>
      </c>
      <c r="H230" s="45"/>
      <c r="I230" s="45" t="s">
        <v>2781</v>
      </c>
      <c r="J230" s="45"/>
      <c r="K230" s="45" t="str">
        <f>"　"</f>
        <v>　</v>
      </c>
    </row>
    <row r="231" spans="1:11" ht="45" customHeight="1">
      <c r="A231" s="30">
        <v>105</v>
      </c>
      <c r="B231" s="45" t="s">
        <v>797</v>
      </c>
      <c r="C231" s="45" t="s">
        <v>1</v>
      </c>
      <c r="D231" s="47"/>
      <c r="E231" s="46">
        <v>8600</v>
      </c>
      <c r="F231" s="30">
        <v>4</v>
      </c>
      <c r="G231" s="49" t="s">
        <v>2995</v>
      </c>
      <c r="H231" s="45" t="s">
        <v>2996</v>
      </c>
      <c r="I231" s="45" t="s">
        <v>142</v>
      </c>
      <c r="J231" s="45" t="s">
        <v>207</v>
      </c>
      <c r="K231" s="45" t="s">
        <v>3229</v>
      </c>
    </row>
    <row r="232" spans="1:11" ht="45" customHeight="1">
      <c r="A232" s="158" t="s">
        <v>193</v>
      </c>
      <c r="B232" s="144"/>
      <c r="C232" s="45"/>
      <c r="D232" s="45"/>
      <c r="E232" s="47"/>
      <c r="F232" s="30"/>
      <c r="G232" s="49"/>
      <c r="H232" s="45"/>
      <c r="I232" s="45"/>
      <c r="J232" s="45"/>
      <c r="K232" s="45"/>
    </row>
    <row r="233" spans="1:11" ht="45" customHeight="1">
      <c r="A233" s="30">
        <v>105</v>
      </c>
      <c r="B233" s="45" t="s">
        <v>0</v>
      </c>
      <c r="C233" s="45" t="s">
        <v>1</v>
      </c>
      <c r="D233" s="47">
        <v>115000</v>
      </c>
      <c r="E233" s="45"/>
      <c r="F233" s="30">
        <v>3</v>
      </c>
      <c r="G233" s="45" t="s">
        <v>123</v>
      </c>
      <c r="H233" s="45"/>
      <c r="I233" s="45" t="s">
        <v>2781</v>
      </c>
      <c r="J233" s="45"/>
      <c r="K233" s="136" t="str">
        <f>"　"</f>
        <v>　</v>
      </c>
    </row>
    <row r="234" spans="1:11" ht="45" customHeight="1">
      <c r="A234" s="30">
        <v>105</v>
      </c>
      <c r="B234" s="45" t="s">
        <v>682</v>
      </c>
      <c r="C234" s="45" t="s">
        <v>1</v>
      </c>
      <c r="D234" s="45"/>
      <c r="E234" s="47">
        <v>19848</v>
      </c>
      <c r="F234" s="30">
        <v>3</v>
      </c>
      <c r="G234" s="45" t="s">
        <v>2782</v>
      </c>
      <c r="H234" s="45" t="s">
        <v>2783</v>
      </c>
      <c r="I234" s="45" t="s">
        <v>40</v>
      </c>
      <c r="J234" s="45" t="s">
        <v>125</v>
      </c>
      <c r="K234" s="45" t="str">
        <f>"00031623"</f>
        <v>00031623</v>
      </c>
    </row>
    <row r="235" spans="1:11" ht="45" customHeight="1">
      <c r="A235" s="30">
        <v>105</v>
      </c>
      <c r="B235" s="45" t="s">
        <v>0</v>
      </c>
      <c r="C235" s="45" t="s">
        <v>1</v>
      </c>
      <c r="D235" s="47">
        <v>450000</v>
      </c>
      <c r="E235" s="45"/>
      <c r="F235" s="30">
        <v>3</v>
      </c>
      <c r="G235" s="45" t="s">
        <v>566</v>
      </c>
      <c r="H235" s="45"/>
      <c r="I235" s="45" t="s">
        <v>2781</v>
      </c>
      <c r="J235" s="45"/>
      <c r="K235" s="136" t="str">
        <f>"　"</f>
        <v>　</v>
      </c>
    </row>
    <row r="236" spans="1:11" ht="45" customHeight="1">
      <c r="A236" s="30">
        <v>105</v>
      </c>
      <c r="B236" s="45" t="s">
        <v>186</v>
      </c>
      <c r="C236" s="45" t="s">
        <v>1</v>
      </c>
      <c r="D236" s="47">
        <v>224000</v>
      </c>
      <c r="E236" s="45"/>
      <c r="F236" s="30">
        <v>3</v>
      </c>
      <c r="G236" s="45" t="s">
        <v>783</v>
      </c>
      <c r="H236" s="45"/>
      <c r="I236" s="45" t="s">
        <v>2781</v>
      </c>
      <c r="J236" s="45"/>
      <c r="K236" s="136" t="str">
        <f>"　"</f>
        <v>　</v>
      </c>
    </row>
    <row r="237" spans="1:11" ht="45" customHeight="1">
      <c r="A237" s="30">
        <v>105</v>
      </c>
      <c r="B237" s="45" t="s">
        <v>3042</v>
      </c>
      <c r="C237" s="45" t="s">
        <v>1</v>
      </c>
      <c r="D237" s="45"/>
      <c r="E237" s="47">
        <v>18612</v>
      </c>
      <c r="F237" s="30">
        <v>3</v>
      </c>
      <c r="G237" s="45" t="s">
        <v>3042</v>
      </c>
      <c r="H237" s="45" t="s">
        <v>2752</v>
      </c>
      <c r="I237" s="45" t="s">
        <v>196</v>
      </c>
      <c r="J237" s="45" t="s">
        <v>9</v>
      </c>
      <c r="K237" s="45" t="str">
        <f>"00031874"</f>
        <v>00031874</v>
      </c>
    </row>
    <row r="238" spans="1:11" ht="45" customHeight="1">
      <c r="A238" s="30">
        <v>105</v>
      </c>
      <c r="B238" s="45" t="s">
        <v>4349</v>
      </c>
      <c r="C238" s="45" t="s">
        <v>1</v>
      </c>
      <c r="D238" s="45"/>
      <c r="E238" s="47">
        <v>20278</v>
      </c>
      <c r="F238" s="30">
        <v>3</v>
      </c>
      <c r="G238" s="45" t="s">
        <v>4349</v>
      </c>
      <c r="H238" s="45" t="s">
        <v>3039</v>
      </c>
      <c r="I238" s="45" t="s">
        <v>196</v>
      </c>
      <c r="J238" s="45" t="s">
        <v>9</v>
      </c>
      <c r="K238" s="45" t="str">
        <f>"00032012"</f>
        <v>00032012</v>
      </c>
    </row>
    <row r="239" spans="1:11" ht="45" customHeight="1">
      <c r="A239" s="30">
        <v>104</v>
      </c>
      <c r="B239" s="45" t="s">
        <v>194</v>
      </c>
      <c r="C239" s="45" t="s">
        <v>1</v>
      </c>
      <c r="D239" s="45"/>
      <c r="E239" s="47">
        <v>4500</v>
      </c>
      <c r="F239" s="30">
        <v>3</v>
      </c>
      <c r="G239" s="45" t="s">
        <v>3640</v>
      </c>
      <c r="H239" s="45" t="s">
        <v>195</v>
      </c>
      <c r="I239" s="45" t="s">
        <v>196</v>
      </c>
      <c r="J239" s="45" t="s">
        <v>197</v>
      </c>
      <c r="K239" s="137" t="s">
        <v>3641</v>
      </c>
    </row>
    <row r="240" spans="1:11" ht="45" customHeight="1">
      <c r="A240" s="30">
        <v>105</v>
      </c>
      <c r="B240" s="45" t="s">
        <v>4989</v>
      </c>
      <c r="C240" s="45" t="s">
        <v>1</v>
      </c>
      <c r="D240" s="45"/>
      <c r="E240" s="47">
        <v>30343</v>
      </c>
      <c r="F240" s="30">
        <v>3</v>
      </c>
      <c r="G240" s="45" t="s">
        <v>4989</v>
      </c>
      <c r="H240" s="45" t="s">
        <v>4990</v>
      </c>
      <c r="I240" s="45" t="s">
        <v>196</v>
      </c>
      <c r="J240" s="45" t="s">
        <v>4992</v>
      </c>
      <c r="K240" s="45" t="str">
        <f>"00030515"</f>
        <v>00030515</v>
      </c>
    </row>
    <row r="241" spans="1:11" ht="45" customHeight="1">
      <c r="A241" s="30">
        <v>105</v>
      </c>
      <c r="B241" s="45" t="s">
        <v>3499</v>
      </c>
      <c r="C241" s="45" t="s">
        <v>1</v>
      </c>
      <c r="D241" s="45"/>
      <c r="E241" s="47">
        <v>29514</v>
      </c>
      <c r="F241" s="30">
        <v>3</v>
      </c>
      <c r="G241" s="45" t="s">
        <v>3510</v>
      </c>
      <c r="H241" s="45" t="s">
        <v>3511</v>
      </c>
      <c r="I241" s="45" t="s">
        <v>196</v>
      </c>
      <c r="J241" s="45" t="s">
        <v>125</v>
      </c>
      <c r="K241" s="45" t="str">
        <f>"00027934"</f>
        <v>00027934</v>
      </c>
    </row>
    <row r="242" spans="1:11" ht="45" customHeight="1">
      <c r="A242" s="30">
        <v>105</v>
      </c>
      <c r="B242" s="45" t="s">
        <v>3499</v>
      </c>
      <c r="C242" s="45" t="s">
        <v>1</v>
      </c>
      <c r="D242" s="45"/>
      <c r="E242" s="47">
        <v>30456</v>
      </c>
      <c r="F242" s="30">
        <v>3</v>
      </c>
      <c r="G242" s="45" t="s">
        <v>3512</v>
      </c>
      <c r="H242" s="45" t="s">
        <v>1030</v>
      </c>
      <c r="I242" s="45" t="s">
        <v>196</v>
      </c>
      <c r="J242" s="45" t="s">
        <v>138</v>
      </c>
      <c r="K242" s="45" t="str">
        <f>"00028717"</f>
        <v>00028717</v>
      </c>
    </row>
    <row r="243" spans="1:11" ht="45" customHeight="1">
      <c r="A243" s="30">
        <v>105</v>
      </c>
      <c r="B243" s="45" t="s">
        <v>4051</v>
      </c>
      <c r="C243" s="45" t="s">
        <v>1</v>
      </c>
      <c r="D243" s="45"/>
      <c r="E243" s="47">
        <v>18348</v>
      </c>
      <c r="F243" s="30">
        <v>3</v>
      </c>
      <c r="G243" s="45" t="s">
        <v>4052</v>
      </c>
      <c r="H243" s="45" t="s">
        <v>4053</v>
      </c>
      <c r="I243" s="45" t="s">
        <v>196</v>
      </c>
      <c r="J243" s="45" t="s">
        <v>138</v>
      </c>
      <c r="K243" s="45" t="str">
        <f>"00027177"</f>
        <v>00027177</v>
      </c>
    </row>
    <row r="244" spans="1:11" ht="45" customHeight="1">
      <c r="A244" s="30">
        <v>105</v>
      </c>
      <c r="B244" s="45" t="s">
        <v>5276</v>
      </c>
      <c r="C244" s="45" t="s">
        <v>1</v>
      </c>
      <c r="D244" s="45"/>
      <c r="E244" s="47">
        <v>30604</v>
      </c>
      <c r="F244" s="30">
        <v>3</v>
      </c>
      <c r="G244" s="45" t="s">
        <v>5351</v>
      </c>
      <c r="H244" s="45" t="s">
        <v>2873</v>
      </c>
      <c r="I244" s="45" t="s">
        <v>196</v>
      </c>
      <c r="J244" s="45" t="s">
        <v>130</v>
      </c>
      <c r="K244" s="45" t="str">
        <f>"00028532"</f>
        <v>00028532</v>
      </c>
    </row>
    <row r="245" spans="1:11" ht="45" customHeight="1">
      <c r="A245" s="30">
        <v>105</v>
      </c>
      <c r="B245" s="45" t="s">
        <v>5275</v>
      </c>
      <c r="C245" s="45" t="s">
        <v>1</v>
      </c>
      <c r="D245" s="45"/>
      <c r="E245" s="47">
        <v>9767</v>
      </c>
      <c r="F245" s="30">
        <v>3</v>
      </c>
      <c r="G245" s="45" t="s">
        <v>5352</v>
      </c>
      <c r="H245" s="45" t="s">
        <v>5278</v>
      </c>
      <c r="I245" s="76" t="s">
        <v>5279</v>
      </c>
      <c r="J245" s="49" t="s">
        <v>5280</v>
      </c>
      <c r="K245" s="45" t="str">
        <f>"00031529"</f>
        <v>00031529</v>
      </c>
    </row>
    <row r="246" spans="1:11" ht="45" customHeight="1">
      <c r="A246" s="30">
        <v>105</v>
      </c>
      <c r="B246" s="45" t="s">
        <v>5276</v>
      </c>
      <c r="C246" s="45" t="s">
        <v>1</v>
      </c>
      <c r="D246" s="45"/>
      <c r="E246" s="47">
        <v>18229</v>
      </c>
      <c r="F246" s="30">
        <v>3</v>
      </c>
      <c r="G246" s="45" t="s">
        <v>5350</v>
      </c>
      <c r="H246" s="45" t="s">
        <v>1199</v>
      </c>
      <c r="I246" s="45" t="s">
        <v>196</v>
      </c>
      <c r="J246" s="45" t="s">
        <v>130</v>
      </c>
      <c r="K246" s="45" t="str">
        <f>"00029790"</f>
        <v>00029790</v>
      </c>
    </row>
    <row r="247" spans="1:11" ht="45" customHeight="1">
      <c r="A247" s="158" t="s">
        <v>66</v>
      </c>
      <c r="B247" s="144"/>
      <c r="C247" s="42"/>
      <c r="D247" s="42"/>
      <c r="E247" s="42"/>
      <c r="F247" s="29"/>
      <c r="G247" s="42"/>
      <c r="H247" s="42"/>
      <c r="I247" s="42"/>
      <c r="J247" s="42"/>
      <c r="K247" s="45" t="s">
        <v>90</v>
      </c>
    </row>
    <row r="248" spans="1:11" ht="45" customHeight="1">
      <c r="A248" s="30">
        <v>105</v>
      </c>
      <c r="B248" s="45" t="s">
        <v>0</v>
      </c>
      <c r="C248" s="45" t="s">
        <v>1</v>
      </c>
      <c r="D248" s="47">
        <v>5539000</v>
      </c>
      <c r="E248" s="45"/>
      <c r="F248" s="30">
        <v>7</v>
      </c>
      <c r="G248" s="45" t="s">
        <v>829</v>
      </c>
      <c r="H248" s="45"/>
      <c r="I248" s="45" t="s">
        <v>2781</v>
      </c>
      <c r="J248" s="45"/>
      <c r="K248" s="98" t="str">
        <f>"　"</f>
        <v>　</v>
      </c>
    </row>
    <row r="249" spans="1:11" ht="45" customHeight="1">
      <c r="A249" s="30"/>
      <c r="B249" s="56" t="s">
        <v>2</v>
      </c>
      <c r="C249" s="45"/>
      <c r="D249" s="45"/>
      <c r="E249" s="45"/>
      <c r="F249" s="30"/>
      <c r="G249" s="45"/>
      <c r="H249" s="45"/>
      <c r="I249" s="45"/>
      <c r="J249" s="45"/>
      <c r="K249" s="98"/>
    </row>
    <row r="250" spans="1:11" ht="45" customHeight="1">
      <c r="A250" s="30">
        <v>105</v>
      </c>
      <c r="B250" s="45" t="s">
        <v>139</v>
      </c>
      <c r="C250" s="45" t="s">
        <v>1</v>
      </c>
      <c r="D250" s="45"/>
      <c r="E250" s="47">
        <v>40000</v>
      </c>
      <c r="F250" s="30">
        <v>7</v>
      </c>
      <c r="G250" s="45" t="s">
        <v>3005</v>
      </c>
      <c r="H250" s="45" t="s">
        <v>3003</v>
      </c>
      <c r="I250" s="45" t="s">
        <v>3006</v>
      </c>
      <c r="J250" s="45" t="s">
        <v>3004</v>
      </c>
      <c r="K250" s="45" t="str">
        <f>"00027081"</f>
        <v>00027081</v>
      </c>
    </row>
    <row r="251" spans="1:11" ht="45" customHeight="1">
      <c r="A251" s="30">
        <v>105</v>
      </c>
      <c r="B251" s="45" t="s">
        <v>139</v>
      </c>
      <c r="C251" s="45" t="s">
        <v>1</v>
      </c>
      <c r="D251" s="45"/>
      <c r="E251" s="47">
        <v>41395</v>
      </c>
      <c r="F251" s="30">
        <v>7</v>
      </c>
      <c r="G251" s="45" t="s">
        <v>3002</v>
      </c>
      <c r="H251" s="45" t="s">
        <v>3003</v>
      </c>
      <c r="I251" s="45" t="s">
        <v>3006</v>
      </c>
      <c r="J251" s="45" t="s">
        <v>3004</v>
      </c>
      <c r="K251" s="45" t="str">
        <f>"00027080"</f>
        <v>00027080</v>
      </c>
    </row>
    <row r="252" spans="1:11" ht="45" customHeight="1">
      <c r="A252" s="30">
        <v>105</v>
      </c>
      <c r="B252" s="45" t="s">
        <v>2061</v>
      </c>
      <c r="C252" s="45" t="s">
        <v>1</v>
      </c>
      <c r="D252" s="45"/>
      <c r="E252" s="47">
        <v>121564</v>
      </c>
      <c r="F252" s="30">
        <v>7</v>
      </c>
      <c r="G252" s="45" t="s">
        <v>3007</v>
      </c>
      <c r="H252" s="45" t="s">
        <v>3008</v>
      </c>
      <c r="I252" s="45" t="s">
        <v>2820</v>
      </c>
      <c r="J252" s="76" t="s">
        <v>3009</v>
      </c>
      <c r="K252" s="45" t="str">
        <f>"00027082"</f>
        <v>00027082</v>
      </c>
    </row>
    <row r="253" spans="1:11" ht="45" customHeight="1">
      <c r="A253" s="30">
        <v>105</v>
      </c>
      <c r="B253" s="45" t="s">
        <v>2061</v>
      </c>
      <c r="C253" s="45" t="s">
        <v>1</v>
      </c>
      <c r="D253" s="45"/>
      <c r="E253" s="47">
        <v>100000</v>
      </c>
      <c r="F253" s="30">
        <v>7</v>
      </c>
      <c r="G253" s="49" t="s">
        <v>2997</v>
      </c>
      <c r="H253" s="45" t="s">
        <v>2998</v>
      </c>
      <c r="I253" s="45" t="s">
        <v>2999</v>
      </c>
      <c r="J253" s="49" t="s">
        <v>3000</v>
      </c>
      <c r="K253" s="45" t="str">
        <f>"00030815"</f>
        <v>00030815</v>
      </c>
    </row>
    <row r="254" spans="1:11" ht="45" customHeight="1">
      <c r="A254" s="30">
        <v>105</v>
      </c>
      <c r="B254" s="45" t="s">
        <v>103</v>
      </c>
      <c r="C254" s="45" t="s">
        <v>1</v>
      </c>
      <c r="D254" s="45"/>
      <c r="E254" s="47">
        <v>25105</v>
      </c>
      <c r="F254" s="30">
        <v>7</v>
      </c>
      <c r="G254" s="45" t="s">
        <v>3001</v>
      </c>
      <c r="H254" s="45" t="s">
        <v>2035</v>
      </c>
      <c r="I254" s="45" t="s">
        <v>2791</v>
      </c>
      <c r="J254" s="45" t="s">
        <v>135</v>
      </c>
      <c r="K254" s="45" t="str">
        <f>"00029176"</f>
        <v>00029176</v>
      </c>
    </row>
    <row r="255" spans="1:11" ht="45" customHeight="1">
      <c r="A255" s="30">
        <v>105</v>
      </c>
      <c r="B255" s="45" t="s">
        <v>4072</v>
      </c>
      <c r="C255" s="45" t="s">
        <v>1</v>
      </c>
      <c r="D255" s="45"/>
      <c r="E255" s="47">
        <v>22855</v>
      </c>
      <c r="F255" s="30">
        <v>7</v>
      </c>
      <c r="G255" s="45" t="s">
        <v>4073</v>
      </c>
      <c r="H255" s="45" t="s">
        <v>4074</v>
      </c>
      <c r="I255" s="45" t="s">
        <v>196</v>
      </c>
      <c r="J255" s="45" t="s">
        <v>130</v>
      </c>
      <c r="K255" s="45" t="str">
        <f>"00028345"</f>
        <v>00028345</v>
      </c>
    </row>
    <row r="256" spans="1:11" ht="45" customHeight="1">
      <c r="A256" s="30">
        <v>105</v>
      </c>
      <c r="B256" s="45" t="s">
        <v>4061</v>
      </c>
      <c r="C256" s="45" t="s">
        <v>1</v>
      </c>
      <c r="D256" s="45"/>
      <c r="E256" s="47">
        <v>79979</v>
      </c>
      <c r="F256" s="30">
        <v>7</v>
      </c>
      <c r="G256" s="45" t="s">
        <v>140</v>
      </c>
      <c r="H256" s="45" t="s">
        <v>4075</v>
      </c>
      <c r="I256" s="45" t="s">
        <v>196</v>
      </c>
      <c r="J256" s="45" t="s">
        <v>128</v>
      </c>
      <c r="K256" s="45" t="str">
        <f>"00027866"</f>
        <v>00027866</v>
      </c>
    </row>
    <row r="257" spans="1:11" ht="45" customHeight="1">
      <c r="A257" s="30">
        <v>105</v>
      </c>
      <c r="B257" s="45" t="s">
        <v>4076</v>
      </c>
      <c r="C257" s="45" t="s">
        <v>1</v>
      </c>
      <c r="D257" s="45"/>
      <c r="E257" s="47">
        <v>83453</v>
      </c>
      <c r="F257" s="30">
        <v>7</v>
      </c>
      <c r="G257" s="45" t="s">
        <v>4077</v>
      </c>
      <c r="H257" s="45" t="s">
        <v>4078</v>
      </c>
      <c r="I257" s="45" t="s">
        <v>196</v>
      </c>
      <c r="J257" s="45" t="s">
        <v>138</v>
      </c>
      <c r="K257" s="45" t="str">
        <f>"00032975"</f>
        <v>00032975</v>
      </c>
    </row>
    <row r="258" spans="1:11" ht="45" customHeight="1">
      <c r="A258" s="30"/>
      <c r="B258" s="58" t="s">
        <v>105</v>
      </c>
      <c r="C258" s="45"/>
      <c r="D258" s="45"/>
      <c r="E258" s="47">
        <f>SUM(E250:E257)</f>
        <v>514351</v>
      </c>
      <c r="F258" s="30"/>
      <c r="G258" s="45"/>
      <c r="H258" s="45"/>
      <c r="I258" s="45"/>
      <c r="J258" s="45"/>
      <c r="K258" s="98"/>
    </row>
    <row r="259" spans="1:11" ht="45" customHeight="1">
      <c r="A259" s="30"/>
      <c r="B259" s="56" t="s">
        <v>210</v>
      </c>
      <c r="C259" s="45"/>
      <c r="D259" s="45"/>
      <c r="E259" s="45"/>
      <c r="F259" s="30"/>
      <c r="G259" s="45"/>
      <c r="H259" s="45"/>
      <c r="I259" s="45"/>
      <c r="J259" s="45"/>
      <c r="K259" s="98"/>
    </row>
    <row r="260" spans="1:11" ht="45" customHeight="1">
      <c r="A260" s="30">
        <v>105</v>
      </c>
      <c r="B260" s="49" t="s">
        <v>890</v>
      </c>
      <c r="C260" s="45" t="s">
        <v>1</v>
      </c>
      <c r="D260" s="45"/>
      <c r="E260" s="47">
        <v>38418</v>
      </c>
      <c r="F260" s="30">
        <v>7</v>
      </c>
      <c r="G260" s="45" t="s">
        <v>5529</v>
      </c>
      <c r="H260" s="45" t="s">
        <v>3015</v>
      </c>
      <c r="I260" s="45" t="s">
        <v>43</v>
      </c>
      <c r="J260" s="45" t="s">
        <v>130</v>
      </c>
      <c r="K260" s="76" t="s">
        <v>5909</v>
      </c>
    </row>
    <row r="261" spans="1:11" ht="45" customHeight="1">
      <c r="A261" s="30">
        <v>105</v>
      </c>
      <c r="B261" s="51" t="s">
        <v>3013</v>
      </c>
      <c r="C261" s="45" t="s">
        <v>1</v>
      </c>
      <c r="D261" s="45"/>
      <c r="E261" s="47">
        <v>42000</v>
      </c>
      <c r="F261" s="30">
        <v>7</v>
      </c>
      <c r="G261" s="53" t="s">
        <v>3014</v>
      </c>
      <c r="H261" s="45" t="s">
        <v>2089</v>
      </c>
      <c r="I261" s="45" t="s">
        <v>40</v>
      </c>
      <c r="J261" s="45" t="s">
        <v>125</v>
      </c>
      <c r="K261" s="52" t="s">
        <v>5910</v>
      </c>
    </row>
    <row r="262" spans="1:11" ht="45" customHeight="1">
      <c r="A262" s="30">
        <v>105</v>
      </c>
      <c r="B262" s="45" t="s">
        <v>3019</v>
      </c>
      <c r="C262" s="45" t="s">
        <v>1</v>
      </c>
      <c r="D262" s="45"/>
      <c r="E262" s="47">
        <v>17329</v>
      </c>
      <c r="F262" s="30">
        <v>7</v>
      </c>
      <c r="G262" s="45" t="s">
        <v>5530</v>
      </c>
      <c r="H262" s="45" t="s">
        <v>2032</v>
      </c>
      <c r="I262" s="45" t="s">
        <v>753</v>
      </c>
      <c r="J262" s="45" t="s">
        <v>754</v>
      </c>
      <c r="K262" s="138" t="s">
        <v>5907</v>
      </c>
    </row>
    <row r="263" spans="1:11" ht="45" customHeight="1">
      <c r="A263" s="30">
        <v>105</v>
      </c>
      <c r="B263" s="45" t="s">
        <v>3016</v>
      </c>
      <c r="C263" s="45" t="s">
        <v>1</v>
      </c>
      <c r="D263" s="45"/>
      <c r="E263" s="47">
        <v>39162</v>
      </c>
      <c r="F263" s="30">
        <v>7</v>
      </c>
      <c r="G263" s="45" t="s">
        <v>3017</v>
      </c>
      <c r="H263" s="45" t="s">
        <v>3018</v>
      </c>
      <c r="I263" s="45" t="s">
        <v>43</v>
      </c>
      <c r="J263" s="45" t="s">
        <v>130</v>
      </c>
      <c r="K263" s="138" t="s">
        <v>5908</v>
      </c>
    </row>
    <row r="264" spans="1:11" ht="45" customHeight="1">
      <c r="A264" s="30">
        <v>105</v>
      </c>
      <c r="B264" s="51" t="s">
        <v>3013</v>
      </c>
      <c r="C264" s="45" t="s">
        <v>1</v>
      </c>
      <c r="D264" s="45"/>
      <c r="E264" s="47">
        <v>38000</v>
      </c>
      <c r="F264" s="30">
        <v>7</v>
      </c>
      <c r="G264" s="53" t="s">
        <v>3025</v>
      </c>
      <c r="H264" s="45" t="s">
        <v>2954</v>
      </c>
      <c r="I264" s="45" t="s">
        <v>40</v>
      </c>
      <c r="J264" s="45" t="s">
        <v>125</v>
      </c>
      <c r="K264" s="52" t="s">
        <v>5911</v>
      </c>
    </row>
    <row r="265" spans="1:11" ht="45" customHeight="1">
      <c r="A265" s="30">
        <v>105</v>
      </c>
      <c r="B265" s="49" t="s">
        <v>890</v>
      </c>
      <c r="C265" s="45" t="s">
        <v>1</v>
      </c>
      <c r="D265" s="45"/>
      <c r="E265" s="47">
        <v>29993</v>
      </c>
      <c r="F265" s="30">
        <v>7</v>
      </c>
      <c r="G265" s="45" t="s">
        <v>3010</v>
      </c>
      <c r="H265" s="45" t="s">
        <v>3011</v>
      </c>
      <c r="I265" s="45" t="s">
        <v>131</v>
      </c>
      <c r="J265" s="45" t="s">
        <v>3012</v>
      </c>
      <c r="K265" s="138" t="s">
        <v>5912</v>
      </c>
    </row>
    <row r="266" spans="1:11" ht="45" customHeight="1">
      <c r="A266" s="30">
        <v>105</v>
      </c>
      <c r="B266" s="49" t="s">
        <v>890</v>
      </c>
      <c r="C266" s="45" t="s">
        <v>1</v>
      </c>
      <c r="D266" s="45"/>
      <c r="E266" s="47">
        <v>42492</v>
      </c>
      <c r="F266" s="30">
        <v>7</v>
      </c>
      <c r="G266" s="45" t="s">
        <v>5531</v>
      </c>
      <c r="H266" s="45" t="s">
        <v>991</v>
      </c>
      <c r="I266" s="45" t="s">
        <v>43</v>
      </c>
      <c r="J266" s="45" t="s">
        <v>130</v>
      </c>
      <c r="K266" s="76" t="s">
        <v>5913</v>
      </c>
    </row>
    <row r="267" spans="1:11" ht="45" customHeight="1">
      <c r="A267" s="30">
        <v>105</v>
      </c>
      <c r="B267" s="45" t="s">
        <v>3026</v>
      </c>
      <c r="C267" s="45" t="s">
        <v>1</v>
      </c>
      <c r="D267" s="45"/>
      <c r="E267" s="47">
        <v>45671</v>
      </c>
      <c r="F267" s="30">
        <v>7</v>
      </c>
      <c r="G267" s="51" t="s">
        <v>5532</v>
      </c>
      <c r="H267" s="45" t="s">
        <v>2019</v>
      </c>
      <c r="I267" s="45" t="s">
        <v>6076</v>
      </c>
      <c r="J267" s="45" t="s">
        <v>2005</v>
      </c>
      <c r="K267" s="76" t="s">
        <v>5914</v>
      </c>
    </row>
    <row r="268" spans="1:11" ht="45" customHeight="1">
      <c r="A268" s="30">
        <v>105</v>
      </c>
      <c r="B268" s="45" t="s">
        <v>2096</v>
      </c>
      <c r="C268" s="45" t="s">
        <v>1</v>
      </c>
      <c r="D268" s="45"/>
      <c r="E268" s="47">
        <v>35487</v>
      </c>
      <c r="F268" s="30">
        <v>7</v>
      </c>
      <c r="G268" s="45" t="s">
        <v>5533</v>
      </c>
      <c r="H268" s="45" t="s">
        <v>2798</v>
      </c>
      <c r="I268" s="45" t="s">
        <v>2799</v>
      </c>
      <c r="J268" s="45" t="s">
        <v>2800</v>
      </c>
      <c r="K268" s="76" t="s">
        <v>5902</v>
      </c>
    </row>
    <row r="269" spans="1:11" ht="45" customHeight="1">
      <c r="A269" s="30">
        <v>105</v>
      </c>
      <c r="B269" s="49" t="s">
        <v>890</v>
      </c>
      <c r="C269" s="45" t="s">
        <v>1</v>
      </c>
      <c r="D269" s="45"/>
      <c r="E269" s="47">
        <v>29206</v>
      </c>
      <c r="F269" s="30">
        <v>7</v>
      </c>
      <c r="G269" s="45" t="s">
        <v>5534</v>
      </c>
      <c r="H269" s="45" t="s">
        <v>3020</v>
      </c>
      <c r="I269" s="45" t="s">
        <v>43</v>
      </c>
      <c r="J269" s="45" t="s">
        <v>130</v>
      </c>
      <c r="K269" s="76" t="s">
        <v>5915</v>
      </c>
    </row>
    <row r="270" spans="1:11" ht="45" customHeight="1">
      <c r="A270" s="30">
        <v>105</v>
      </c>
      <c r="B270" s="49" t="s">
        <v>890</v>
      </c>
      <c r="C270" s="45" t="s">
        <v>1</v>
      </c>
      <c r="D270" s="45"/>
      <c r="E270" s="47">
        <v>47100</v>
      </c>
      <c r="F270" s="30">
        <v>7</v>
      </c>
      <c r="G270" s="45" t="s">
        <v>5535</v>
      </c>
      <c r="H270" s="45" t="s">
        <v>3022</v>
      </c>
      <c r="I270" s="45" t="s">
        <v>43</v>
      </c>
      <c r="J270" s="45" t="s">
        <v>130</v>
      </c>
      <c r="K270" s="76" t="s">
        <v>5916</v>
      </c>
    </row>
    <row r="271" spans="1:11" ht="45" customHeight="1">
      <c r="A271" s="30">
        <v>105</v>
      </c>
      <c r="B271" s="49" t="s">
        <v>890</v>
      </c>
      <c r="C271" s="45" t="s">
        <v>1</v>
      </c>
      <c r="D271" s="45"/>
      <c r="E271" s="47">
        <v>83312</v>
      </c>
      <c r="F271" s="30">
        <v>7</v>
      </c>
      <c r="G271" s="45" t="s">
        <v>5536</v>
      </c>
      <c r="H271" s="45" t="s">
        <v>3021</v>
      </c>
      <c r="I271" s="45" t="s">
        <v>43</v>
      </c>
      <c r="J271" s="45" t="s">
        <v>130</v>
      </c>
      <c r="K271" s="76" t="s">
        <v>5917</v>
      </c>
    </row>
    <row r="272" spans="1:11" ht="45" customHeight="1">
      <c r="A272" s="30">
        <v>105</v>
      </c>
      <c r="B272" s="45" t="s">
        <v>3026</v>
      </c>
      <c r="C272" s="45" t="s">
        <v>1</v>
      </c>
      <c r="D272" s="45"/>
      <c r="E272" s="47">
        <v>45671</v>
      </c>
      <c r="F272" s="30">
        <v>7</v>
      </c>
      <c r="G272" s="51" t="s">
        <v>5532</v>
      </c>
      <c r="H272" s="45" t="s">
        <v>2019</v>
      </c>
      <c r="I272" s="45" t="s">
        <v>6075</v>
      </c>
      <c r="J272" s="45" t="s">
        <v>2005</v>
      </c>
      <c r="K272" s="76" t="s">
        <v>5918</v>
      </c>
    </row>
    <row r="273" spans="1:11" ht="45" customHeight="1">
      <c r="A273" s="30">
        <v>105</v>
      </c>
      <c r="B273" s="45" t="s">
        <v>3026</v>
      </c>
      <c r="C273" s="45" t="s">
        <v>1</v>
      </c>
      <c r="D273" s="45"/>
      <c r="E273" s="47">
        <v>45671</v>
      </c>
      <c r="F273" s="30">
        <v>7</v>
      </c>
      <c r="G273" s="51" t="s">
        <v>5532</v>
      </c>
      <c r="H273" s="45" t="s">
        <v>2019</v>
      </c>
      <c r="I273" s="45" t="s">
        <v>6075</v>
      </c>
      <c r="J273" s="45" t="s">
        <v>2005</v>
      </c>
      <c r="K273" s="76" t="s">
        <v>5919</v>
      </c>
    </row>
    <row r="274" spans="1:11" ht="45" customHeight="1">
      <c r="A274" s="30">
        <v>105</v>
      </c>
      <c r="B274" s="45" t="s">
        <v>3026</v>
      </c>
      <c r="C274" s="45" t="s">
        <v>1</v>
      </c>
      <c r="D274" s="45"/>
      <c r="E274" s="47">
        <v>45671</v>
      </c>
      <c r="F274" s="30">
        <v>7</v>
      </c>
      <c r="G274" s="51" t="s">
        <v>5532</v>
      </c>
      <c r="H274" s="45" t="s">
        <v>2019</v>
      </c>
      <c r="I274" s="45" t="s">
        <v>6075</v>
      </c>
      <c r="J274" s="45" t="s">
        <v>2005</v>
      </c>
      <c r="K274" s="76" t="s">
        <v>5920</v>
      </c>
    </row>
    <row r="275" spans="1:11" ht="45" customHeight="1">
      <c r="A275" s="30">
        <v>105</v>
      </c>
      <c r="B275" s="45" t="s">
        <v>3026</v>
      </c>
      <c r="C275" s="45" t="s">
        <v>1</v>
      </c>
      <c r="D275" s="45"/>
      <c r="E275" s="47">
        <v>45671</v>
      </c>
      <c r="F275" s="30">
        <v>7</v>
      </c>
      <c r="G275" s="51" t="s">
        <v>5532</v>
      </c>
      <c r="H275" s="45" t="s">
        <v>2019</v>
      </c>
      <c r="I275" s="45" t="s">
        <v>6075</v>
      </c>
      <c r="J275" s="45" t="s">
        <v>2005</v>
      </c>
      <c r="K275" s="76" t="s">
        <v>5921</v>
      </c>
    </row>
    <row r="276" spans="1:11" ht="45" customHeight="1">
      <c r="A276" s="30">
        <v>105</v>
      </c>
      <c r="B276" s="45" t="s">
        <v>2815</v>
      </c>
      <c r="C276" s="45" t="s">
        <v>1</v>
      </c>
      <c r="D276" s="45"/>
      <c r="E276" s="47">
        <v>16570</v>
      </c>
      <c r="F276" s="30">
        <v>7</v>
      </c>
      <c r="G276" s="45" t="s">
        <v>3023</v>
      </c>
      <c r="H276" s="45" t="s">
        <v>2098</v>
      </c>
      <c r="I276" s="45" t="s">
        <v>3024</v>
      </c>
      <c r="J276" s="45" t="s">
        <v>2099</v>
      </c>
      <c r="K276" s="76" t="s">
        <v>5922</v>
      </c>
    </row>
    <row r="277" spans="1:11" ht="45" customHeight="1">
      <c r="A277" s="30">
        <v>105</v>
      </c>
      <c r="B277" s="45" t="s">
        <v>2096</v>
      </c>
      <c r="C277" s="45" t="s">
        <v>1</v>
      </c>
      <c r="D277" s="45"/>
      <c r="E277" s="47">
        <v>50000</v>
      </c>
      <c r="F277" s="30">
        <v>7</v>
      </c>
      <c r="G277" s="45" t="s">
        <v>5550</v>
      </c>
      <c r="H277" s="45" t="s">
        <v>5551</v>
      </c>
      <c r="I277" s="45" t="s">
        <v>5896</v>
      </c>
      <c r="J277" s="45" t="s">
        <v>5552</v>
      </c>
      <c r="K277" s="76" t="s">
        <v>5923</v>
      </c>
    </row>
    <row r="278" spans="1:11" ht="45" customHeight="1">
      <c r="A278" s="30">
        <v>105</v>
      </c>
      <c r="B278" s="45" t="s">
        <v>2096</v>
      </c>
      <c r="C278" s="45" t="s">
        <v>1</v>
      </c>
      <c r="D278" s="45"/>
      <c r="E278" s="47">
        <v>40344</v>
      </c>
      <c r="F278" s="30">
        <v>7</v>
      </c>
      <c r="G278" s="45" t="s">
        <v>2097</v>
      </c>
      <c r="H278" s="45" t="s">
        <v>2098</v>
      </c>
      <c r="I278" s="45" t="s">
        <v>3024</v>
      </c>
      <c r="J278" s="45" t="s">
        <v>2099</v>
      </c>
      <c r="K278" s="76" t="s">
        <v>5922</v>
      </c>
    </row>
    <row r="279" spans="1:11" ht="45" customHeight="1">
      <c r="A279" s="30"/>
      <c r="B279" s="58" t="s">
        <v>272</v>
      </c>
      <c r="C279" s="45"/>
      <c r="D279" s="45"/>
      <c r="E279" s="47">
        <f>SUM(E260:E278)</f>
        <v>777768</v>
      </c>
      <c r="F279" s="30"/>
      <c r="G279" s="45"/>
      <c r="H279" s="45"/>
      <c r="I279" s="45"/>
      <c r="J279" s="45"/>
      <c r="K279" s="98"/>
    </row>
    <row r="280" spans="1:11" ht="45" customHeight="1">
      <c r="A280" s="30"/>
      <c r="B280" s="60" t="s">
        <v>718</v>
      </c>
      <c r="C280" s="45"/>
      <c r="D280" s="45"/>
      <c r="E280" s="47"/>
      <c r="F280" s="30"/>
      <c r="G280" s="45"/>
      <c r="H280" s="45"/>
      <c r="I280" s="45"/>
      <c r="J280" s="45"/>
      <c r="K280" s="98"/>
    </row>
    <row r="281" spans="1:11" ht="45" customHeight="1">
      <c r="A281" s="30">
        <v>105</v>
      </c>
      <c r="B281" s="45" t="s">
        <v>432</v>
      </c>
      <c r="C281" s="45" t="s">
        <v>1</v>
      </c>
      <c r="D281" s="45"/>
      <c r="E281" s="47">
        <v>49122</v>
      </c>
      <c r="F281" s="30">
        <v>7</v>
      </c>
      <c r="G281" s="45" t="s">
        <v>3057</v>
      </c>
      <c r="H281" s="45" t="s">
        <v>3058</v>
      </c>
      <c r="I281" s="45" t="s">
        <v>42</v>
      </c>
      <c r="J281" s="45" t="s">
        <v>138</v>
      </c>
      <c r="K281" s="45" t="str">
        <f>"00032545"</f>
        <v>00032545</v>
      </c>
    </row>
    <row r="282" spans="1:11" ht="45" customHeight="1">
      <c r="A282" s="126"/>
      <c r="B282" s="58" t="s">
        <v>717</v>
      </c>
      <c r="C282" s="126"/>
      <c r="D282" s="126"/>
      <c r="E282" s="47">
        <f>SUM(E281)</f>
        <v>49122</v>
      </c>
      <c r="F282" s="126"/>
      <c r="G282" s="126"/>
      <c r="H282" s="126"/>
      <c r="I282" s="126"/>
      <c r="J282" s="126"/>
      <c r="K282" s="126"/>
    </row>
    <row r="283" spans="1:11" ht="45" customHeight="1">
      <c r="A283" s="126"/>
      <c r="B283" s="60" t="s">
        <v>632</v>
      </c>
      <c r="C283" s="126"/>
      <c r="D283" s="126"/>
      <c r="E283" s="47"/>
      <c r="F283" s="126"/>
      <c r="G283" s="126"/>
      <c r="H283" s="126"/>
      <c r="I283" s="126"/>
      <c r="J283" s="126"/>
      <c r="K283" s="98"/>
    </row>
    <row r="284" spans="1:11" ht="45" customHeight="1">
      <c r="A284" s="30">
        <v>105</v>
      </c>
      <c r="B284" s="49" t="s">
        <v>2345</v>
      </c>
      <c r="C284" s="45" t="s">
        <v>1</v>
      </c>
      <c r="D284" s="45"/>
      <c r="E284" s="47">
        <v>17446</v>
      </c>
      <c r="F284" s="30">
        <v>7</v>
      </c>
      <c r="G284" s="76" t="s">
        <v>2348</v>
      </c>
      <c r="H284" s="45" t="s">
        <v>2349</v>
      </c>
      <c r="I284" s="45" t="s">
        <v>133</v>
      </c>
      <c r="J284" s="76" t="s">
        <v>2350</v>
      </c>
      <c r="K284" s="49" t="s">
        <v>3230</v>
      </c>
    </row>
    <row r="285" spans="1:11" ht="45" customHeight="1">
      <c r="A285" s="31"/>
      <c r="B285" s="58" t="s">
        <v>631</v>
      </c>
      <c r="C285" s="31"/>
      <c r="D285" s="31"/>
      <c r="E285" s="47">
        <f>SUM(E284)</f>
        <v>17446</v>
      </c>
      <c r="F285" s="31"/>
      <c r="G285" s="31"/>
      <c r="H285" s="31"/>
      <c r="I285" s="31"/>
      <c r="J285" s="31"/>
      <c r="K285" s="98"/>
    </row>
    <row r="286" spans="1:11" ht="45" customHeight="1">
      <c r="A286" s="30"/>
      <c r="B286" s="60" t="s">
        <v>143</v>
      </c>
      <c r="C286" s="45"/>
      <c r="D286" s="45"/>
      <c r="E286" s="47"/>
      <c r="F286" s="30"/>
      <c r="G286" s="45"/>
      <c r="H286" s="45"/>
      <c r="I286" s="45"/>
      <c r="J286" s="45"/>
      <c r="K286" s="98"/>
    </row>
    <row r="287" spans="1:11" ht="45" customHeight="1">
      <c r="A287" s="30">
        <v>105</v>
      </c>
      <c r="B287" s="45" t="s">
        <v>1151</v>
      </c>
      <c r="C287" s="45" t="s">
        <v>1</v>
      </c>
      <c r="D287" s="45"/>
      <c r="E287" s="47">
        <v>20584</v>
      </c>
      <c r="F287" s="30">
        <v>7</v>
      </c>
      <c r="G287" s="45" t="s">
        <v>3046</v>
      </c>
      <c r="H287" s="45" t="s">
        <v>3047</v>
      </c>
      <c r="I287" s="45" t="s">
        <v>31</v>
      </c>
      <c r="J287" s="45" t="s">
        <v>136</v>
      </c>
      <c r="K287" s="45" t="str">
        <f>"00027118"</f>
        <v>00027118</v>
      </c>
    </row>
    <row r="288" spans="1:11" ht="45" customHeight="1">
      <c r="A288" s="30">
        <v>105</v>
      </c>
      <c r="B288" s="76" t="s">
        <v>33</v>
      </c>
      <c r="C288" s="45" t="s">
        <v>1</v>
      </c>
      <c r="D288" s="45"/>
      <c r="E288" s="47">
        <v>20233</v>
      </c>
      <c r="F288" s="30">
        <v>7</v>
      </c>
      <c r="G288" s="45" t="s">
        <v>3048</v>
      </c>
      <c r="H288" s="45" t="s">
        <v>3045</v>
      </c>
      <c r="I288" s="45" t="s">
        <v>129</v>
      </c>
      <c r="J288" s="45" t="s">
        <v>128</v>
      </c>
      <c r="K288" s="45" t="str">
        <f>"00027854"</f>
        <v>00027854</v>
      </c>
    </row>
    <row r="289" spans="1:11" ht="45" customHeight="1">
      <c r="A289" s="30">
        <v>105</v>
      </c>
      <c r="B289" s="76" t="s">
        <v>33</v>
      </c>
      <c r="C289" s="45" t="s">
        <v>1</v>
      </c>
      <c r="D289" s="45"/>
      <c r="E289" s="47">
        <v>30905</v>
      </c>
      <c r="F289" s="30">
        <v>7</v>
      </c>
      <c r="G289" s="45" t="s">
        <v>3049</v>
      </c>
      <c r="H289" s="45" t="s">
        <v>2957</v>
      </c>
      <c r="I289" s="45" t="s">
        <v>126</v>
      </c>
      <c r="J289" s="45" t="s">
        <v>720</v>
      </c>
      <c r="K289" s="45" t="str">
        <f>"00027933"</f>
        <v>00027933</v>
      </c>
    </row>
    <row r="290" spans="1:11" ht="45" customHeight="1">
      <c r="A290" s="30">
        <v>105</v>
      </c>
      <c r="B290" s="45" t="s">
        <v>1137</v>
      </c>
      <c r="C290" s="45" t="s">
        <v>1</v>
      </c>
      <c r="D290" s="45"/>
      <c r="E290" s="47">
        <v>67242</v>
      </c>
      <c r="F290" s="30">
        <v>7</v>
      </c>
      <c r="G290" s="45" t="s">
        <v>3034</v>
      </c>
      <c r="H290" s="45" t="s">
        <v>3035</v>
      </c>
      <c r="I290" s="45" t="s">
        <v>3036</v>
      </c>
      <c r="J290" s="45" t="s">
        <v>3037</v>
      </c>
      <c r="K290" s="45" t="str">
        <f>"00030839"</f>
        <v>00030839</v>
      </c>
    </row>
    <row r="291" spans="1:11" ht="45" customHeight="1">
      <c r="A291" s="30">
        <v>105</v>
      </c>
      <c r="B291" s="45" t="s">
        <v>3041</v>
      </c>
      <c r="C291" s="45" t="s">
        <v>1</v>
      </c>
      <c r="D291" s="45"/>
      <c r="E291" s="47">
        <v>25503</v>
      </c>
      <c r="F291" s="30">
        <v>7</v>
      </c>
      <c r="G291" s="45" t="s">
        <v>3042</v>
      </c>
      <c r="H291" s="45" t="s">
        <v>3039</v>
      </c>
      <c r="I291" s="45" t="s">
        <v>3043</v>
      </c>
      <c r="J291" s="45" t="s">
        <v>9</v>
      </c>
      <c r="K291" s="45" t="str">
        <f>"00032049"</f>
        <v>00032049</v>
      </c>
    </row>
    <row r="292" spans="1:11" ht="45" customHeight="1">
      <c r="A292" s="30">
        <v>105</v>
      </c>
      <c r="B292" s="76" t="s">
        <v>33</v>
      </c>
      <c r="C292" s="45" t="s">
        <v>1</v>
      </c>
      <c r="D292" s="45"/>
      <c r="E292" s="47">
        <v>17649</v>
      </c>
      <c r="F292" s="30">
        <v>7</v>
      </c>
      <c r="G292" s="45" t="s">
        <v>3044</v>
      </c>
      <c r="H292" s="45" t="s">
        <v>3045</v>
      </c>
      <c r="I292" s="45" t="s">
        <v>129</v>
      </c>
      <c r="J292" s="45" t="s">
        <v>128</v>
      </c>
      <c r="K292" s="45" t="str">
        <f>"00027730"</f>
        <v>00027730</v>
      </c>
    </row>
    <row r="293" spans="1:11" ht="45" customHeight="1">
      <c r="A293" s="30">
        <v>105</v>
      </c>
      <c r="B293" s="76" t="s">
        <v>33</v>
      </c>
      <c r="C293" s="45" t="s">
        <v>1</v>
      </c>
      <c r="D293" s="45"/>
      <c r="E293" s="47">
        <v>33345</v>
      </c>
      <c r="F293" s="30">
        <v>7</v>
      </c>
      <c r="G293" s="45" t="s">
        <v>3042</v>
      </c>
      <c r="H293" s="45" t="s">
        <v>3039</v>
      </c>
      <c r="I293" s="45" t="s">
        <v>273</v>
      </c>
      <c r="J293" s="45" t="s">
        <v>9</v>
      </c>
      <c r="K293" s="45" t="str">
        <f>"00031956"</f>
        <v>00031956</v>
      </c>
    </row>
    <row r="294" spans="1:11" ht="45" customHeight="1">
      <c r="A294" s="30">
        <v>105</v>
      </c>
      <c r="B294" s="76" t="s">
        <v>33</v>
      </c>
      <c r="C294" s="45" t="s">
        <v>1</v>
      </c>
      <c r="D294" s="45"/>
      <c r="E294" s="47">
        <v>79069</v>
      </c>
      <c r="F294" s="30">
        <v>7</v>
      </c>
      <c r="G294" s="45" t="s">
        <v>3027</v>
      </c>
      <c r="H294" s="45" t="s">
        <v>982</v>
      </c>
      <c r="I294" s="45" t="s">
        <v>141</v>
      </c>
      <c r="J294" s="45" t="s">
        <v>3028</v>
      </c>
      <c r="K294" s="45" t="str">
        <f>"00031684"</f>
        <v>00031684</v>
      </c>
    </row>
    <row r="295" spans="1:11" ht="45" customHeight="1">
      <c r="A295" s="30">
        <v>105</v>
      </c>
      <c r="B295" s="76" t="s">
        <v>33</v>
      </c>
      <c r="C295" s="45" t="s">
        <v>1</v>
      </c>
      <c r="D295" s="45"/>
      <c r="E295" s="47">
        <v>46452</v>
      </c>
      <c r="F295" s="30">
        <v>7</v>
      </c>
      <c r="G295" s="76" t="s">
        <v>3038</v>
      </c>
      <c r="H295" s="45" t="s">
        <v>3039</v>
      </c>
      <c r="I295" s="45" t="s">
        <v>3040</v>
      </c>
      <c r="J295" s="45" t="s">
        <v>146</v>
      </c>
      <c r="K295" s="45" t="str">
        <f>"00031764"</f>
        <v>00031764</v>
      </c>
    </row>
    <row r="296" spans="1:11" ht="45" customHeight="1">
      <c r="A296" s="30">
        <v>105</v>
      </c>
      <c r="B296" s="45" t="s">
        <v>2213</v>
      </c>
      <c r="C296" s="45" t="s">
        <v>1</v>
      </c>
      <c r="D296" s="45"/>
      <c r="E296" s="47">
        <v>13848</v>
      </c>
      <c r="F296" s="30">
        <v>7</v>
      </c>
      <c r="G296" s="45" t="s">
        <v>3032</v>
      </c>
      <c r="H296" s="45" t="s">
        <v>1549</v>
      </c>
      <c r="I296" s="45" t="s">
        <v>737</v>
      </c>
      <c r="J296" s="45" t="s">
        <v>3033</v>
      </c>
      <c r="K296" s="45" t="str">
        <f>"00030068"</f>
        <v>00030068</v>
      </c>
    </row>
    <row r="297" spans="1:11" ht="45" customHeight="1">
      <c r="A297" s="30">
        <v>105</v>
      </c>
      <c r="B297" s="76" t="s">
        <v>285</v>
      </c>
      <c r="C297" s="45" t="s">
        <v>1</v>
      </c>
      <c r="D297" s="45"/>
      <c r="E297" s="47">
        <v>13900</v>
      </c>
      <c r="F297" s="30">
        <v>7</v>
      </c>
      <c r="G297" s="45" t="s">
        <v>3029</v>
      </c>
      <c r="H297" s="45" t="s">
        <v>3030</v>
      </c>
      <c r="I297" s="45" t="s">
        <v>722</v>
      </c>
      <c r="J297" s="45" t="s">
        <v>2832</v>
      </c>
      <c r="K297" s="45" t="str">
        <f>"00030383"</f>
        <v>00030383</v>
      </c>
    </row>
    <row r="298" spans="1:11" ht="45" customHeight="1">
      <c r="A298" s="30">
        <v>105</v>
      </c>
      <c r="B298" s="76" t="s">
        <v>33</v>
      </c>
      <c r="C298" s="45" t="s">
        <v>1</v>
      </c>
      <c r="D298" s="45"/>
      <c r="E298" s="47">
        <v>13394</v>
      </c>
      <c r="F298" s="30">
        <v>7</v>
      </c>
      <c r="G298" s="45" t="s">
        <v>3032</v>
      </c>
      <c r="H298" s="45" t="s">
        <v>1549</v>
      </c>
      <c r="I298" s="45" t="s">
        <v>737</v>
      </c>
      <c r="J298" s="45" t="s">
        <v>3033</v>
      </c>
      <c r="K298" s="45" t="str">
        <f>"00030353"</f>
        <v>00030353</v>
      </c>
    </row>
    <row r="299" spans="1:11" ht="45" customHeight="1">
      <c r="A299" s="30">
        <v>105</v>
      </c>
      <c r="B299" s="45" t="s">
        <v>157</v>
      </c>
      <c r="C299" s="45" t="s">
        <v>1</v>
      </c>
      <c r="D299" s="45"/>
      <c r="E299" s="47">
        <v>145147</v>
      </c>
      <c r="F299" s="30">
        <v>7</v>
      </c>
      <c r="G299" s="45" t="s">
        <v>145</v>
      </c>
      <c r="H299" s="45" t="s">
        <v>3031</v>
      </c>
      <c r="I299" s="45" t="s">
        <v>43</v>
      </c>
      <c r="J299" s="45" t="s">
        <v>130</v>
      </c>
      <c r="K299" s="45" t="str">
        <f>"00029555"</f>
        <v>00029555</v>
      </c>
    </row>
    <row r="300" spans="1:11" ht="45" customHeight="1">
      <c r="A300" s="30">
        <v>105</v>
      </c>
      <c r="B300" s="76" t="s">
        <v>4350</v>
      </c>
      <c r="C300" s="45" t="s">
        <v>1</v>
      </c>
      <c r="D300" s="45"/>
      <c r="E300" s="47">
        <v>50978</v>
      </c>
      <c r="F300" s="30">
        <v>7</v>
      </c>
      <c r="G300" s="45" t="s">
        <v>4350</v>
      </c>
      <c r="H300" s="45" t="s">
        <v>4351</v>
      </c>
      <c r="I300" s="45" t="s">
        <v>196</v>
      </c>
      <c r="J300" s="45" t="s">
        <v>128</v>
      </c>
      <c r="K300" s="45" t="str">
        <f>"00028886"</f>
        <v>00028886</v>
      </c>
    </row>
    <row r="301" spans="1:11" ht="45" customHeight="1">
      <c r="A301" s="30">
        <v>105</v>
      </c>
      <c r="B301" s="45" t="s">
        <v>4352</v>
      </c>
      <c r="C301" s="45" t="s">
        <v>1</v>
      </c>
      <c r="D301" s="45"/>
      <c r="E301" s="47">
        <v>78947</v>
      </c>
      <c r="F301" s="30">
        <v>7</v>
      </c>
      <c r="G301" s="49" t="s">
        <v>4353</v>
      </c>
      <c r="H301" s="45" t="s">
        <v>4354</v>
      </c>
      <c r="I301" s="45" t="s">
        <v>196</v>
      </c>
      <c r="J301" s="45" t="s">
        <v>9</v>
      </c>
      <c r="K301" s="45" t="str">
        <f>"00028223"</f>
        <v>00028223</v>
      </c>
    </row>
    <row r="302" spans="1:11" ht="45" customHeight="1">
      <c r="A302" s="30"/>
      <c r="B302" s="58" t="s">
        <v>144</v>
      </c>
      <c r="C302" s="45"/>
      <c r="D302" s="45"/>
      <c r="E302" s="47">
        <f>SUM(E287:E301)</f>
        <v>657196</v>
      </c>
      <c r="F302" s="30"/>
      <c r="G302" s="45"/>
      <c r="H302" s="45"/>
      <c r="I302" s="45"/>
      <c r="J302" s="45"/>
      <c r="K302" s="45"/>
    </row>
    <row r="303" spans="1:11" ht="45" customHeight="1">
      <c r="A303" s="30"/>
      <c r="B303" s="60" t="s">
        <v>185</v>
      </c>
      <c r="C303" s="45"/>
      <c r="D303" s="45"/>
      <c r="E303" s="47"/>
      <c r="F303" s="30"/>
      <c r="G303" s="45"/>
      <c r="H303" s="45"/>
      <c r="I303" s="45"/>
      <c r="J303" s="45"/>
      <c r="K303" s="98"/>
    </row>
    <row r="304" spans="1:11" ht="45" customHeight="1">
      <c r="A304" s="30">
        <v>105</v>
      </c>
      <c r="B304" s="45" t="s">
        <v>3050</v>
      </c>
      <c r="C304" s="45" t="s">
        <v>1</v>
      </c>
      <c r="D304" s="45"/>
      <c r="E304" s="47">
        <v>46300</v>
      </c>
      <c r="F304" s="30">
        <v>7</v>
      </c>
      <c r="G304" s="45" t="s">
        <v>3053</v>
      </c>
      <c r="H304" s="45" t="s">
        <v>3054</v>
      </c>
      <c r="I304" s="45" t="s">
        <v>42</v>
      </c>
      <c r="J304" s="45" t="s">
        <v>138</v>
      </c>
      <c r="K304" s="49" t="s">
        <v>3637</v>
      </c>
    </row>
    <row r="305" spans="1:11" ht="45" customHeight="1">
      <c r="A305" s="30">
        <v>105</v>
      </c>
      <c r="B305" s="45" t="s">
        <v>3050</v>
      </c>
      <c r="C305" s="45" t="s">
        <v>1</v>
      </c>
      <c r="D305" s="45"/>
      <c r="E305" s="47">
        <v>41300</v>
      </c>
      <c r="F305" s="30">
        <v>7</v>
      </c>
      <c r="G305" s="45" t="s">
        <v>3055</v>
      </c>
      <c r="H305" s="45" t="s">
        <v>3056</v>
      </c>
      <c r="I305" s="45" t="s">
        <v>42</v>
      </c>
      <c r="J305" s="45" t="s">
        <v>138</v>
      </c>
      <c r="K305" s="49" t="s">
        <v>3638</v>
      </c>
    </row>
    <row r="306" spans="1:11" ht="45" customHeight="1">
      <c r="A306" s="30">
        <v>105</v>
      </c>
      <c r="B306" s="45" t="s">
        <v>3050</v>
      </c>
      <c r="C306" s="45" t="s">
        <v>1</v>
      </c>
      <c r="D306" s="45"/>
      <c r="E306" s="47">
        <v>11241</v>
      </c>
      <c r="F306" s="30">
        <v>7</v>
      </c>
      <c r="G306" s="45" t="s">
        <v>3051</v>
      </c>
      <c r="H306" s="45" t="s">
        <v>3052</v>
      </c>
      <c r="I306" s="45" t="s">
        <v>43</v>
      </c>
      <c r="J306" s="45" t="s">
        <v>130</v>
      </c>
      <c r="K306" s="49" t="s">
        <v>3639</v>
      </c>
    </row>
    <row r="307" spans="1:11" ht="45" customHeight="1">
      <c r="A307" s="30"/>
      <c r="B307" s="58" t="s">
        <v>209</v>
      </c>
      <c r="C307" s="45"/>
      <c r="D307" s="45"/>
      <c r="E307" s="47">
        <f>SUM(E304:E306)</f>
        <v>98841</v>
      </c>
      <c r="F307" s="30"/>
      <c r="G307" s="45"/>
      <c r="H307" s="45"/>
      <c r="I307" s="45"/>
      <c r="J307" s="45"/>
      <c r="K307" s="98"/>
    </row>
    <row r="308" spans="1:11" ht="45" customHeight="1">
      <c r="A308" s="30"/>
      <c r="B308" s="60" t="s">
        <v>356</v>
      </c>
      <c r="C308" s="45"/>
      <c r="D308" s="45"/>
      <c r="E308" s="47"/>
      <c r="F308" s="30"/>
      <c r="G308" s="45"/>
      <c r="H308" s="45"/>
      <c r="I308" s="45"/>
      <c r="J308" s="45"/>
      <c r="K308" s="98"/>
    </row>
    <row r="309" spans="1:11" ht="45" customHeight="1">
      <c r="A309" s="30">
        <v>105</v>
      </c>
      <c r="B309" s="45" t="s">
        <v>337</v>
      </c>
      <c r="C309" s="45" t="s">
        <v>1</v>
      </c>
      <c r="D309" s="45"/>
      <c r="E309" s="47">
        <v>27282</v>
      </c>
      <c r="F309" s="30">
        <v>7</v>
      </c>
      <c r="G309" s="51" t="s">
        <v>3182</v>
      </c>
      <c r="H309" s="45" t="s">
        <v>1185</v>
      </c>
      <c r="I309" s="45" t="s">
        <v>43</v>
      </c>
      <c r="J309" s="45" t="s">
        <v>130</v>
      </c>
      <c r="K309" s="45" t="str">
        <f>"00028576"</f>
        <v>00028576</v>
      </c>
    </row>
    <row r="310" spans="1:11" ht="45" customHeight="1">
      <c r="A310" s="30">
        <v>105</v>
      </c>
      <c r="B310" s="45" t="s">
        <v>343</v>
      </c>
      <c r="C310" s="45" t="s">
        <v>1</v>
      </c>
      <c r="D310" s="45"/>
      <c r="E310" s="47">
        <v>22169</v>
      </c>
      <c r="F310" s="30">
        <v>7</v>
      </c>
      <c r="G310" s="45" t="s">
        <v>3163</v>
      </c>
      <c r="H310" s="45" t="s">
        <v>3164</v>
      </c>
      <c r="I310" s="45" t="s">
        <v>126</v>
      </c>
      <c r="J310" s="45" t="s">
        <v>720</v>
      </c>
      <c r="K310" s="45" t="str">
        <f>"00031875"</f>
        <v>00031875</v>
      </c>
    </row>
    <row r="311" spans="1:11" ht="45" customHeight="1">
      <c r="A311" s="30">
        <v>105</v>
      </c>
      <c r="B311" s="45" t="s">
        <v>339</v>
      </c>
      <c r="C311" s="45" t="s">
        <v>1</v>
      </c>
      <c r="D311" s="45"/>
      <c r="E311" s="47">
        <v>34494</v>
      </c>
      <c r="F311" s="30">
        <v>7</v>
      </c>
      <c r="G311" s="53" t="s">
        <v>2621</v>
      </c>
      <c r="H311" s="45" t="s">
        <v>2622</v>
      </c>
      <c r="I311" s="45" t="s">
        <v>42</v>
      </c>
      <c r="J311" s="45" t="s">
        <v>2623</v>
      </c>
      <c r="K311" s="45" t="str">
        <f>"00031709"</f>
        <v>00031709</v>
      </c>
    </row>
    <row r="312" spans="1:11" ht="45" customHeight="1">
      <c r="A312" s="30">
        <v>105</v>
      </c>
      <c r="B312" s="45" t="s">
        <v>339</v>
      </c>
      <c r="C312" s="45" t="s">
        <v>1</v>
      </c>
      <c r="D312" s="45"/>
      <c r="E312" s="47">
        <v>42887</v>
      </c>
      <c r="F312" s="30">
        <v>7</v>
      </c>
      <c r="G312" s="51" t="s">
        <v>3165</v>
      </c>
      <c r="H312" s="45" t="s">
        <v>1416</v>
      </c>
      <c r="I312" s="45" t="s">
        <v>42</v>
      </c>
      <c r="J312" s="45" t="s">
        <v>138</v>
      </c>
      <c r="K312" s="45" t="str">
        <f>"00032257"</f>
        <v>00032257</v>
      </c>
    </row>
    <row r="313" spans="1:11" ht="45" customHeight="1">
      <c r="A313" s="30">
        <v>105</v>
      </c>
      <c r="B313" s="45" t="s">
        <v>339</v>
      </c>
      <c r="C313" s="45" t="s">
        <v>1</v>
      </c>
      <c r="D313" s="45"/>
      <c r="E313" s="47">
        <v>44428</v>
      </c>
      <c r="F313" s="30">
        <v>7</v>
      </c>
      <c r="G313" s="51" t="s">
        <v>3165</v>
      </c>
      <c r="H313" s="45" t="s">
        <v>3166</v>
      </c>
      <c r="I313" s="45" t="s">
        <v>42</v>
      </c>
      <c r="J313" s="45" t="s">
        <v>138</v>
      </c>
      <c r="K313" s="45" t="str">
        <f>"00032256"</f>
        <v>00032256</v>
      </c>
    </row>
    <row r="314" spans="1:11" ht="45" customHeight="1">
      <c r="A314" s="30">
        <v>105</v>
      </c>
      <c r="B314" s="45" t="s">
        <v>3167</v>
      </c>
      <c r="C314" s="45" t="s">
        <v>1</v>
      </c>
      <c r="D314" s="45"/>
      <c r="E314" s="47">
        <v>31075</v>
      </c>
      <c r="F314" s="30">
        <v>7</v>
      </c>
      <c r="G314" s="45" t="s">
        <v>3168</v>
      </c>
      <c r="H314" s="45" t="s">
        <v>3169</v>
      </c>
      <c r="I314" s="45" t="s">
        <v>43</v>
      </c>
      <c r="J314" s="45" t="s">
        <v>130</v>
      </c>
      <c r="K314" s="45" t="str">
        <f>"00029367"</f>
        <v>00029367</v>
      </c>
    </row>
    <row r="315" spans="1:11" ht="45" customHeight="1">
      <c r="A315" s="30">
        <v>105</v>
      </c>
      <c r="B315" s="45" t="s">
        <v>349</v>
      </c>
      <c r="C315" s="45" t="s">
        <v>1</v>
      </c>
      <c r="D315" s="45"/>
      <c r="E315" s="47">
        <v>36318</v>
      </c>
      <c r="F315" s="30">
        <v>7</v>
      </c>
      <c r="G315" s="45" t="s">
        <v>3183</v>
      </c>
      <c r="H315" s="45" t="s">
        <v>3181</v>
      </c>
      <c r="I315" s="45" t="s">
        <v>40</v>
      </c>
      <c r="J315" s="45" t="s">
        <v>125</v>
      </c>
      <c r="K315" s="45" t="str">
        <f>"00027417"</f>
        <v>00027417</v>
      </c>
    </row>
    <row r="316" spans="1:11" ht="45" customHeight="1">
      <c r="A316" s="30">
        <v>105</v>
      </c>
      <c r="B316" s="45" t="s">
        <v>349</v>
      </c>
      <c r="C316" s="45" t="s">
        <v>1</v>
      </c>
      <c r="D316" s="45"/>
      <c r="E316" s="47">
        <v>37446</v>
      </c>
      <c r="F316" s="30">
        <v>7</v>
      </c>
      <c r="G316" s="45" t="s">
        <v>3180</v>
      </c>
      <c r="H316" s="45" t="s">
        <v>3181</v>
      </c>
      <c r="I316" s="45" t="s">
        <v>40</v>
      </c>
      <c r="J316" s="45" t="s">
        <v>125</v>
      </c>
      <c r="K316" s="45" t="str">
        <f>"00027383"</f>
        <v>00027383</v>
      </c>
    </row>
    <row r="317" spans="1:11" ht="45" customHeight="1">
      <c r="A317" s="30">
        <v>105</v>
      </c>
      <c r="B317" s="45" t="s">
        <v>3167</v>
      </c>
      <c r="C317" s="45" t="s">
        <v>1</v>
      </c>
      <c r="D317" s="45"/>
      <c r="E317" s="47">
        <v>36779</v>
      </c>
      <c r="F317" s="30">
        <v>7</v>
      </c>
      <c r="G317" s="45" t="s">
        <v>4211</v>
      </c>
      <c r="H317" s="45" t="s">
        <v>4212</v>
      </c>
      <c r="I317" s="45" t="s">
        <v>3178</v>
      </c>
      <c r="J317" s="45" t="s">
        <v>3179</v>
      </c>
      <c r="K317" s="45" t="str">
        <f>"00033072"</f>
        <v>00033072</v>
      </c>
    </row>
    <row r="318" spans="1:11" ht="45" customHeight="1">
      <c r="A318" s="30">
        <v>105</v>
      </c>
      <c r="B318" s="45" t="s">
        <v>358</v>
      </c>
      <c r="C318" s="45" t="s">
        <v>1</v>
      </c>
      <c r="D318" s="45"/>
      <c r="E318" s="47">
        <v>23154</v>
      </c>
      <c r="F318" s="30">
        <v>7</v>
      </c>
      <c r="G318" s="45" t="s">
        <v>3173</v>
      </c>
      <c r="H318" s="45" t="s">
        <v>3174</v>
      </c>
      <c r="I318" s="45" t="s">
        <v>126</v>
      </c>
      <c r="J318" s="45" t="s">
        <v>720</v>
      </c>
      <c r="K318" s="45" t="str">
        <f>"00027320"</f>
        <v>00027320</v>
      </c>
    </row>
    <row r="319" spans="1:11" ht="45" customHeight="1">
      <c r="A319" s="30">
        <v>105</v>
      </c>
      <c r="B319" s="45" t="s">
        <v>339</v>
      </c>
      <c r="C319" s="45" t="s">
        <v>1</v>
      </c>
      <c r="D319" s="45"/>
      <c r="E319" s="47">
        <v>24910</v>
      </c>
      <c r="F319" s="30">
        <v>7</v>
      </c>
      <c r="G319" s="45" t="s">
        <v>3175</v>
      </c>
      <c r="H319" s="45" t="s">
        <v>3176</v>
      </c>
      <c r="I319" s="45" t="s">
        <v>42</v>
      </c>
      <c r="J319" s="45" t="s">
        <v>138</v>
      </c>
      <c r="K319" s="45" t="str">
        <f>"00031948"</f>
        <v>00031948</v>
      </c>
    </row>
    <row r="320" spans="1:11" ht="45" customHeight="1">
      <c r="A320" s="30">
        <v>105</v>
      </c>
      <c r="B320" s="45" t="s">
        <v>342</v>
      </c>
      <c r="C320" s="45" t="s">
        <v>1</v>
      </c>
      <c r="D320" s="45"/>
      <c r="E320" s="47">
        <v>36197</v>
      </c>
      <c r="F320" s="30">
        <v>7</v>
      </c>
      <c r="G320" s="45" t="s">
        <v>3177</v>
      </c>
      <c r="H320" s="45" t="s">
        <v>1634</v>
      </c>
      <c r="I320" s="45" t="s">
        <v>3178</v>
      </c>
      <c r="J320" s="45" t="s">
        <v>3179</v>
      </c>
      <c r="K320" s="45" t="str">
        <f>"00031983"</f>
        <v>00031983</v>
      </c>
    </row>
    <row r="321" spans="1:11" ht="45" customHeight="1">
      <c r="A321" s="30">
        <v>105</v>
      </c>
      <c r="B321" s="45" t="s">
        <v>1832</v>
      </c>
      <c r="C321" s="45" t="s">
        <v>1</v>
      </c>
      <c r="D321" s="45"/>
      <c r="E321" s="47">
        <v>17369</v>
      </c>
      <c r="F321" s="30">
        <v>7</v>
      </c>
      <c r="G321" s="53" t="s">
        <v>2580</v>
      </c>
      <c r="H321" s="45" t="s">
        <v>2581</v>
      </c>
      <c r="I321" s="45" t="s">
        <v>42</v>
      </c>
      <c r="J321" s="49" t="s">
        <v>2582</v>
      </c>
      <c r="K321" s="45" t="str">
        <f>"00031611"</f>
        <v>00031611</v>
      </c>
    </row>
    <row r="322" spans="1:11" ht="45" customHeight="1">
      <c r="A322" s="30">
        <v>105</v>
      </c>
      <c r="B322" s="45" t="s">
        <v>370</v>
      </c>
      <c r="C322" s="45" t="s">
        <v>1</v>
      </c>
      <c r="D322" s="45"/>
      <c r="E322" s="47">
        <v>23687</v>
      </c>
      <c r="F322" s="30">
        <v>7</v>
      </c>
      <c r="G322" s="45" t="s">
        <v>3170</v>
      </c>
      <c r="H322" s="45" t="s">
        <v>3171</v>
      </c>
      <c r="I322" s="45" t="s">
        <v>42</v>
      </c>
      <c r="J322" s="45" t="s">
        <v>138</v>
      </c>
      <c r="K322" s="45" t="str">
        <f>"00031711"</f>
        <v>00031711</v>
      </c>
    </row>
    <row r="323" spans="1:11" ht="45" customHeight="1">
      <c r="A323" s="30">
        <v>105</v>
      </c>
      <c r="B323" s="45" t="s">
        <v>1862</v>
      </c>
      <c r="C323" s="45" t="s">
        <v>1</v>
      </c>
      <c r="D323" s="45"/>
      <c r="E323" s="47">
        <v>32993</v>
      </c>
      <c r="F323" s="30">
        <v>7</v>
      </c>
      <c r="G323" s="51" t="s">
        <v>3165</v>
      </c>
      <c r="H323" s="45" t="s">
        <v>3172</v>
      </c>
      <c r="I323" s="45" t="s">
        <v>42</v>
      </c>
      <c r="J323" s="45" t="s">
        <v>138</v>
      </c>
      <c r="K323" s="45" t="str">
        <f>"00032380"</f>
        <v>00032380</v>
      </c>
    </row>
    <row r="324" spans="1:11" ht="45" customHeight="1">
      <c r="A324" s="30">
        <v>105</v>
      </c>
      <c r="B324" s="49" t="s">
        <v>4213</v>
      </c>
      <c r="C324" s="45" t="s">
        <v>1</v>
      </c>
      <c r="D324" s="45"/>
      <c r="E324" s="47">
        <v>33766</v>
      </c>
      <c r="F324" s="30">
        <v>7</v>
      </c>
      <c r="G324" s="45" t="s">
        <v>4214</v>
      </c>
      <c r="H324" s="45" t="s">
        <v>4215</v>
      </c>
      <c r="I324" s="45" t="s">
        <v>126</v>
      </c>
      <c r="J324" s="45" t="s">
        <v>720</v>
      </c>
      <c r="K324" s="45" t="s">
        <v>6077</v>
      </c>
    </row>
    <row r="325" spans="1:11" ht="45" customHeight="1">
      <c r="A325" s="30"/>
      <c r="B325" s="58" t="s">
        <v>15</v>
      </c>
      <c r="C325" s="45"/>
      <c r="D325" s="45"/>
      <c r="E325" s="47">
        <f>SUM(E309:E324)</f>
        <v>504954</v>
      </c>
      <c r="F325" s="30"/>
      <c r="G325" s="45"/>
      <c r="H325" s="45"/>
      <c r="I325" s="45"/>
      <c r="J325" s="45"/>
      <c r="K325" s="45"/>
    </row>
    <row r="326" spans="1:11" ht="45" customHeight="1">
      <c r="A326" s="30"/>
      <c r="B326" s="60" t="s">
        <v>734</v>
      </c>
      <c r="C326" s="45"/>
      <c r="D326" s="45"/>
      <c r="E326" s="47"/>
      <c r="F326" s="30"/>
      <c r="G326" s="45"/>
      <c r="H326" s="45"/>
      <c r="I326" s="45"/>
      <c r="J326" s="45"/>
      <c r="K326" s="98"/>
    </row>
    <row r="327" spans="1:11" ht="45" customHeight="1">
      <c r="A327" s="30">
        <v>105</v>
      </c>
      <c r="B327" s="45" t="s">
        <v>3093</v>
      </c>
      <c r="C327" s="45" t="s">
        <v>1</v>
      </c>
      <c r="D327" s="45"/>
      <c r="E327" s="47">
        <v>113773</v>
      </c>
      <c r="F327" s="30">
        <v>7</v>
      </c>
      <c r="G327" s="45" t="s">
        <v>3097</v>
      </c>
      <c r="H327" s="45" t="s">
        <v>3098</v>
      </c>
      <c r="I327" s="45" t="s">
        <v>42</v>
      </c>
      <c r="J327" s="45" t="s">
        <v>138</v>
      </c>
      <c r="K327" s="76" t="s">
        <v>3688</v>
      </c>
    </row>
    <row r="328" spans="1:11" ht="45" customHeight="1">
      <c r="A328" s="30">
        <v>105</v>
      </c>
      <c r="B328" s="45" t="s">
        <v>736</v>
      </c>
      <c r="C328" s="45" t="s">
        <v>1</v>
      </c>
      <c r="D328" s="45"/>
      <c r="E328" s="47">
        <v>41239</v>
      </c>
      <c r="F328" s="30">
        <v>7</v>
      </c>
      <c r="G328" s="76" t="s">
        <v>3088</v>
      </c>
      <c r="H328" s="45" t="s">
        <v>3089</v>
      </c>
      <c r="I328" s="45" t="s">
        <v>722</v>
      </c>
      <c r="J328" s="45" t="s">
        <v>2832</v>
      </c>
      <c r="K328" s="45" t="str">
        <f>"00029421"</f>
        <v>00029421</v>
      </c>
    </row>
    <row r="329" spans="1:11" ht="45" customHeight="1">
      <c r="A329" s="30">
        <v>105</v>
      </c>
      <c r="B329" s="45" t="s">
        <v>2895</v>
      </c>
      <c r="C329" s="45" t="s">
        <v>1</v>
      </c>
      <c r="D329" s="45"/>
      <c r="E329" s="47">
        <v>59660</v>
      </c>
      <c r="F329" s="30">
        <v>7</v>
      </c>
      <c r="G329" s="51" t="s">
        <v>3086</v>
      </c>
      <c r="H329" s="45" t="s">
        <v>3087</v>
      </c>
      <c r="I329" s="45" t="s">
        <v>43</v>
      </c>
      <c r="J329" s="45" t="s">
        <v>130</v>
      </c>
      <c r="K329" s="45" t="str">
        <f>"00029200"</f>
        <v>00029200</v>
      </c>
    </row>
    <row r="330" spans="1:11" ht="45" customHeight="1">
      <c r="A330" s="30">
        <v>105</v>
      </c>
      <c r="B330" s="45" t="s">
        <v>3090</v>
      </c>
      <c r="C330" s="45" t="s">
        <v>1</v>
      </c>
      <c r="D330" s="45"/>
      <c r="E330" s="47">
        <v>149889</v>
      </c>
      <c r="F330" s="30">
        <v>7</v>
      </c>
      <c r="G330" s="45" t="s">
        <v>3091</v>
      </c>
      <c r="H330" s="45" t="s">
        <v>3092</v>
      </c>
      <c r="I330" s="45" t="s">
        <v>42</v>
      </c>
      <c r="J330" s="45" t="s">
        <v>138</v>
      </c>
      <c r="K330" s="76" t="s">
        <v>3690</v>
      </c>
    </row>
    <row r="331" spans="1:11" ht="45" customHeight="1">
      <c r="A331" s="30">
        <v>105</v>
      </c>
      <c r="B331" s="45" t="s">
        <v>3093</v>
      </c>
      <c r="C331" s="45" t="s">
        <v>1</v>
      </c>
      <c r="D331" s="45"/>
      <c r="E331" s="47">
        <v>45286</v>
      </c>
      <c r="F331" s="30">
        <v>7</v>
      </c>
      <c r="G331" s="45" t="s">
        <v>3094</v>
      </c>
      <c r="H331" s="45" t="s">
        <v>1921</v>
      </c>
      <c r="I331" s="45" t="s">
        <v>3095</v>
      </c>
      <c r="J331" s="45" t="s">
        <v>3096</v>
      </c>
      <c r="K331" s="76" t="s">
        <v>3689</v>
      </c>
    </row>
    <row r="332" spans="1:11" ht="45" customHeight="1">
      <c r="A332" s="30">
        <v>105</v>
      </c>
      <c r="B332" s="45" t="s">
        <v>735</v>
      </c>
      <c r="C332" s="45" t="s">
        <v>1</v>
      </c>
      <c r="D332" s="45"/>
      <c r="E332" s="47">
        <v>52417</v>
      </c>
      <c r="F332" s="30">
        <v>7</v>
      </c>
      <c r="G332" s="45" t="s">
        <v>3081</v>
      </c>
      <c r="H332" s="45" t="s">
        <v>802</v>
      </c>
      <c r="I332" s="45" t="s">
        <v>723</v>
      </c>
      <c r="J332" s="45" t="s">
        <v>197</v>
      </c>
      <c r="K332" s="45" t="str">
        <f>"00030666"</f>
        <v>00030666</v>
      </c>
    </row>
    <row r="333" spans="1:11" ht="45" customHeight="1">
      <c r="A333" s="30">
        <v>105</v>
      </c>
      <c r="B333" s="45" t="s">
        <v>731</v>
      </c>
      <c r="C333" s="45" t="s">
        <v>1</v>
      </c>
      <c r="D333" s="45"/>
      <c r="E333" s="47">
        <v>85090</v>
      </c>
      <c r="F333" s="30">
        <v>7</v>
      </c>
      <c r="G333" s="51" t="s">
        <v>3099</v>
      </c>
      <c r="H333" s="45" t="s">
        <v>2009</v>
      </c>
      <c r="I333" s="45" t="s">
        <v>43</v>
      </c>
      <c r="J333" s="45" t="s">
        <v>130</v>
      </c>
      <c r="K333" s="45" t="str">
        <f>"00028010"</f>
        <v>00028010</v>
      </c>
    </row>
    <row r="334" spans="1:11" ht="45" customHeight="1">
      <c r="A334" s="30">
        <v>105</v>
      </c>
      <c r="B334" s="45" t="s">
        <v>2892</v>
      </c>
      <c r="C334" s="45" t="s">
        <v>1</v>
      </c>
      <c r="D334" s="45"/>
      <c r="E334" s="47">
        <v>15702</v>
      </c>
      <c r="F334" s="30">
        <v>7</v>
      </c>
      <c r="G334" s="76" t="s">
        <v>2893</v>
      </c>
      <c r="H334" s="45" t="s">
        <v>2894</v>
      </c>
      <c r="I334" s="45" t="s">
        <v>43</v>
      </c>
      <c r="J334" s="45" t="s">
        <v>130</v>
      </c>
      <c r="K334" s="45" t="str">
        <f>"00031212"</f>
        <v>00031212</v>
      </c>
    </row>
    <row r="335" spans="1:11" ht="45" customHeight="1">
      <c r="A335" s="30">
        <v>105</v>
      </c>
      <c r="B335" s="45" t="s">
        <v>2898</v>
      </c>
      <c r="C335" s="45" t="s">
        <v>1</v>
      </c>
      <c r="D335" s="45"/>
      <c r="E335" s="47">
        <v>54185</v>
      </c>
      <c r="F335" s="30">
        <v>7</v>
      </c>
      <c r="G335" s="45" t="s">
        <v>3060</v>
      </c>
      <c r="H335" s="45" t="s">
        <v>2899</v>
      </c>
      <c r="I335" s="45" t="s">
        <v>2900</v>
      </c>
      <c r="J335" s="45" t="s">
        <v>2901</v>
      </c>
      <c r="K335" s="45" t="str">
        <f>"00032134"</f>
        <v>00032134</v>
      </c>
    </row>
    <row r="336" spans="1:11" ht="45" customHeight="1">
      <c r="A336" s="30">
        <v>105</v>
      </c>
      <c r="B336" s="45" t="s">
        <v>3077</v>
      </c>
      <c r="C336" s="45" t="s">
        <v>1</v>
      </c>
      <c r="D336" s="45"/>
      <c r="E336" s="47">
        <v>80000</v>
      </c>
      <c r="F336" s="30">
        <v>7</v>
      </c>
      <c r="G336" s="76" t="s">
        <v>3082</v>
      </c>
      <c r="H336" s="45" t="s">
        <v>1632</v>
      </c>
      <c r="I336" s="45" t="s">
        <v>43</v>
      </c>
      <c r="J336" s="45" t="s">
        <v>130</v>
      </c>
      <c r="K336" s="45" t="str">
        <f>"00031276"</f>
        <v>00031276</v>
      </c>
    </row>
    <row r="337" spans="1:11" ht="45" customHeight="1">
      <c r="A337" s="30">
        <v>105</v>
      </c>
      <c r="B337" s="45" t="s">
        <v>2895</v>
      </c>
      <c r="C337" s="45" t="s">
        <v>1</v>
      </c>
      <c r="D337" s="45"/>
      <c r="E337" s="47">
        <v>47738</v>
      </c>
      <c r="F337" s="30">
        <v>7</v>
      </c>
      <c r="G337" s="45" t="s">
        <v>3083</v>
      </c>
      <c r="H337" s="45" t="s">
        <v>2247</v>
      </c>
      <c r="I337" s="45" t="s">
        <v>3084</v>
      </c>
      <c r="J337" s="45" t="s">
        <v>3085</v>
      </c>
      <c r="K337" s="45" t="str">
        <f>"00031540"</f>
        <v>00031540</v>
      </c>
    </row>
    <row r="338" spans="1:11" ht="45" customHeight="1">
      <c r="A338" s="30">
        <v>105</v>
      </c>
      <c r="B338" s="45" t="s">
        <v>1465</v>
      </c>
      <c r="C338" s="45" t="s">
        <v>1</v>
      </c>
      <c r="D338" s="45"/>
      <c r="E338" s="47">
        <v>100481</v>
      </c>
      <c r="F338" s="30">
        <v>7</v>
      </c>
      <c r="G338" s="49" t="s">
        <v>3071</v>
      </c>
      <c r="H338" s="45" t="s">
        <v>3072</v>
      </c>
      <c r="I338" s="45" t="s">
        <v>31</v>
      </c>
      <c r="J338" s="45" t="s">
        <v>716</v>
      </c>
      <c r="K338" s="45" t="str">
        <f>"00031368"</f>
        <v>00031368</v>
      </c>
    </row>
    <row r="339" spans="1:11" ht="45" customHeight="1">
      <c r="A339" s="30">
        <v>105</v>
      </c>
      <c r="B339" s="45" t="s">
        <v>3068</v>
      </c>
      <c r="C339" s="45" t="s">
        <v>1</v>
      </c>
      <c r="D339" s="45"/>
      <c r="E339" s="47">
        <v>61881</v>
      </c>
      <c r="F339" s="30">
        <v>7</v>
      </c>
      <c r="G339" s="51" t="s">
        <v>3073</v>
      </c>
      <c r="H339" s="45" t="s">
        <v>3074</v>
      </c>
      <c r="I339" s="45" t="s">
        <v>3075</v>
      </c>
      <c r="J339" s="45" t="s">
        <v>3076</v>
      </c>
      <c r="K339" s="45" t="str">
        <f>"00031124"</f>
        <v>00031124</v>
      </c>
    </row>
    <row r="340" spans="1:11" ht="45" customHeight="1">
      <c r="A340" s="30">
        <v>105</v>
      </c>
      <c r="B340" s="45" t="s">
        <v>3068</v>
      </c>
      <c r="C340" s="45" t="s">
        <v>1</v>
      </c>
      <c r="D340" s="45"/>
      <c r="E340" s="47">
        <v>32081</v>
      </c>
      <c r="F340" s="30">
        <v>7</v>
      </c>
      <c r="G340" s="53" t="s">
        <v>3687</v>
      </c>
      <c r="H340" s="45" t="s">
        <v>2703</v>
      </c>
      <c r="I340" s="45" t="s">
        <v>3069</v>
      </c>
      <c r="J340" s="45" t="s">
        <v>3070</v>
      </c>
      <c r="K340" s="45" t="str">
        <f>"00031093"</f>
        <v>00031093</v>
      </c>
    </row>
    <row r="341" spans="1:11" ht="45" customHeight="1">
      <c r="A341" s="30">
        <v>105</v>
      </c>
      <c r="B341" s="45" t="s">
        <v>1465</v>
      </c>
      <c r="C341" s="45" t="s">
        <v>1</v>
      </c>
      <c r="D341" s="45"/>
      <c r="E341" s="47">
        <v>24085</v>
      </c>
      <c r="F341" s="30">
        <v>7</v>
      </c>
      <c r="G341" s="53" t="s">
        <v>3061</v>
      </c>
      <c r="H341" s="45" t="s">
        <v>3062</v>
      </c>
      <c r="I341" s="45" t="s">
        <v>3063</v>
      </c>
      <c r="J341" s="49" t="s">
        <v>3064</v>
      </c>
      <c r="K341" s="45" t="str">
        <f>"00032416"</f>
        <v>00032416</v>
      </c>
    </row>
    <row r="342" spans="1:11" ht="45" customHeight="1">
      <c r="A342" s="30">
        <v>105</v>
      </c>
      <c r="B342" s="45" t="s">
        <v>2895</v>
      </c>
      <c r="C342" s="45" t="s">
        <v>1</v>
      </c>
      <c r="D342" s="45"/>
      <c r="E342" s="47">
        <v>42647</v>
      </c>
      <c r="F342" s="30">
        <v>7</v>
      </c>
      <c r="G342" s="49" t="s">
        <v>2896</v>
      </c>
      <c r="H342" s="45" t="s">
        <v>2897</v>
      </c>
      <c r="I342" s="45" t="s">
        <v>43</v>
      </c>
      <c r="J342" s="45" t="s">
        <v>130</v>
      </c>
      <c r="K342" s="45" t="str">
        <f>"00032050"</f>
        <v>00032050</v>
      </c>
    </row>
    <row r="343" spans="1:11" ht="45" customHeight="1">
      <c r="A343" s="30">
        <v>105</v>
      </c>
      <c r="B343" s="51" t="s">
        <v>3065</v>
      </c>
      <c r="C343" s="45" t="s">
        <v>1</v>
      </c>
      <c r="D343" s="45"/>
      <c r="E343" s="47">
        <v>48536</v>
      </c>
      <c r="F343" s="30">
        <v>7</v>
      </c>
      <c r="G343" s="76" t="s">
        <v>3066</v>
      </c>
      <c r="H343" s="45" t="s">
        <v>3067</v>
      </c>
      <c r="I343" s="45" t="s">
        <v>42</v>
      </c>
      <c r="J343" s="45" t="s">
        <v>138</v>
      </c>
      <c r="K343" s="45" t="str">
        <f>"00032269"</f>
        <v>00032269</v>
      </c>
    </row>
    <row r="344" spans="1:11" ht="45" customHeight="1">
      <c r="A344" s="30">
        <v>105</v>
      </c>
      <c r="B344" s="45" t="s">
        <v>3078</v>
      </c>
      <c r="C344" s="45" t="s">
        <v>1</v>
      </c>
      <c r="D344" s="45"/>
      <c r="E344" s="47">
        <v>54381</v>
      </c>
      <c r="F344" s="30">
        <v>7</v>
      </c>
      <c r="G344" s="45" t="s">
        <v>3079</v>
      </c>
      <c r="H344" s="45" t="s">
        <v>3080</v>
      </c>
      <c r="I344" s="45" t="s">
        <v>42</v>
      </c>
      <c r="J344" s="45" t="s">
        <v>138</v>
      </c>
      <c r="K344" s="76" t="s">
        <v>3691</v>
      </c>
    </row>
    <row r="345" spans="1:11" ht="45" customHeight="1">
      <c r="A345" s="30">
        <v>105</v>
      </c>
      <c r="B345" s="45" t="s">
        <v>371</v>
      </c>
      <c r="C345" s="45" t="s">
        <v>1</v>
      </c>
      <c r="D345" s="45"/>
      <c r="E345" s="47">
        <v>18888</v>
      </c>
      <c r="F345" s="30">
        <v>7</v>
      </c>
      <c r="G345" s="76" t="s">
        <v>3692</v>
      </c>
      <c r="H345" s="45" t="s">
        <v>2888</v>
      </c>
      <c r="I345" s="45" t="s">
        <v>2889</v>
      </c>
      <c r="J345" s="45" t="s">
        <v>2890</v>
      </c>
      <c r="K345" s="76" t="s">
        <v>3685</v>
      </c>
    </row>
    <row r="346" spans="1:11" ht="45" customHeight="1">
      <c r="A346" s="30">
        <v>105</v>
      </c>
      <c r="B346" s="45" t="s">
        <v>3077</v>
      </c>
      <c r="C346" s="45" t="s">
        <v>1</v>
      </c>
      <c r="D346" s="45"/>
      <c r="E346" s="47">
        <v>66110</v>
      </c>
      <c r="F346" s="30">
        <v>7</v>
      </c>
      <c r="G346" s="49" t="s">
        <v>3693</v>
      </c>
      <c r="H346" s="45" t="s">
        <v>1983</v>
      </c>
      <c r="I346" s="45" t="s">
        <v>723</v>
      </c>
      <c r="J346" s="45" t="s">
        <v>197</v>
      </c>
      <c r="K346" s="45" t="str">
        <f>"00032674"</f>
        <v>00032674</v>
      </c>
    </row>
    <row r="347" spans="1:11" ht="45" customHeight="1">
      <c r="A347" s="30">
        <v>105</v>
      </c>
      <c r="B347" s="45" t="s">
        <v>2891</v>
      </c>
      <c r="C347" s="45" t="s">
        <v>1</v>
      </c>
      <c r="D347" s="45"/>
      <c r="E347" s="47">
        <v>32316</v>
      </c>
      <c r="F347" s="30">
        <v>7</v>
      </c>
      <c r="G347" s="45" t="s">
        <v>3059</v>
      </c>
      <c r="H347" s="45" t="s">
        <v>1803</v>
      </c>
      <c r="I347" s="45" t="s">
        <v>40</v>
      </c>
      <c r="J347" s="45" t="s">
        <v>125</v>
      </c>
      <c r="K347" s="45" t="str">
        <f>"00033043"</f>
        <v>00033043</v>
      </c>
    </row>
    <row r="348" spans="1:11" ht="45" customHeight="1">
      <c r="A348" s="30"/>
      <c r="B348" s="58" t="s">
        <v>10</v>
      </c>
      <c r="C348" s="45"/>
      <c r="D348" s="45"/>
      <c r="E348" s="47">
        <f>SUM(E327:E347)</f>
        <v>1226385</v>
      </c>
      <c r="F348" s="30"/>
      <c r="G348" s="45"/>
      <c r="H348" s="45"/>
      <c r="I348" s="45"/>
      <c r="J348" s="45"/>
      <c r="K348" s="45"/>
    </row>
    <row r="349" spans="1:11" ht="45" customHeight="1">
      <c r="A349" s="30"/>
      <c r="B349" s="60" t="s">
        <v>740</v>
      </c>
      <c r="C349" s="45"/>
      <c r="D349" s="45"/>
      <c r="E349" s="47"/>
      <c r="F349" s="30"/>
      <c r="G349" s="45"/>
      <c r="H349" s="45"/>
      <c r="I349" s="45"/>
      <c r="J349" s="45"/>
      <c r="K349" s="98"/>
    </row>
    <row r="350" spans="1:11" ht="45" customHeight="1">
      <c r="A350" s="30">
        <v>105</v>
      </c>
      <c r="B350" s="45" t="s">
        <v>388</v>
      </c>
      <c r="C350" s="45" t="s">
        <v>1</v>
      </c>
      <c r="D350" s="45"/>
      <c r="E350" s="47">
        <v>37104</v>
      </c>
      <c r="F350" s="30">
        <v>7</v>
      </c>
      <c r="G350" s="45" t="s">
        <v>3103</v>
      </c>
      <c r="H350" s="45" t="s">
        <v>1810</v>
      </c>
      <c r="I350" s="45" t="s">
        <v>2886</v>
      </c>
      <c r="J350" s="45" t="s">
        <v>3104</v>
      </c>
      <c r="K350" s="76" t="s">
        <v>3732</v>
      </c>
    </row>
    <row r="351" spans="1:11" ht="45" customHeight="1">
      <c r="A351" s="30">
        <v>105</v>
      </c>
      <c r="B351" s="45" t="s">
        <v>738</v>
      </c>
      <c r="C351" s="45" t="s">
        <v>1</v>
      </c>
      <c r="D351" s="45"/>
      <c r="E351" s="47">
        <v>112800</v>
      </c>
      <c r="F351" s="30">
        <v>7</v>
      </c>
      <c r="G351" s="51" t="s">
        <v>3102</v>
      </c>
      <c r="H351" s="45" t="s">
        <v>1112</v>
      </c>
      <c r="I351" s="45" t="s">
        <v>64</v>
      </c>
      <c r="J351" s="45" t="s">
        <v>732</v>
      </c>
      <c r="K351" s="45" t="str">
        <f>"00027999"</f>
        <v>00027999</v>
      </c>
    </row>
    <row r="352" spans="1:11" ht="45" customHeight="1">
      <c r="A352" s="30">
        <v>105</v>
      </c>
      <c r="B352" s="45" t="s">
        <v>388</v>
      </c>
      <c r="C352" s="45" t="s">
        <v>1</v>
      </c>
      <c r="D352" s="45"/>
      <c r="E352" s="47">
        <v>50655</v>
      </c>
      <c r="F352" s="30">
        <v>7</v>
      </c>
      <c r="G352" s="45" t="s">
        <v>3115</v>
      </c>
      <c r="H352" s="45" t="s">
        <v>3116</v>
      </c>
      <c r="I352" s="45" t="s">
        <v>40</v>
      </c>
      <c r="J352" s="45" t="s">
        <v>125</v>
      </c>
      <c r="K352" s="76" t="s">
        <v>3733</v>
      </c>
    </row>
    <row r="353" spans="1:11" ht="45" customHeight="1">
      <c r="A353" s="30">
        <v>105</v>
      </c>
      <c r="B353" s="45" t="s">
        <v>388</v>
      </c>
      <c r="C353" s="45" t="s">
        <v>1</v>
      </c>
      <c r="D353" s="45"/>
      <c r="E353" s="47">
        <v>58219</v>
      </c>
      <c r="F353" s="30">
        <v>7</v>
      </c>
      <c r="G353" s="45" t="s">
        <v>3117</v>
      </c>
      <c r="H353" s="45" t="s">
        <v>1800</v>
      </c>
      <c r="I353" s="45" t="s">
        <v>131</v>
      </c>
      <c r="J353" s="45" t="s">
        <v>132</v>
      </c>
      <c r="K353" s="76" t="s">
        <v>3734</v>
      </c>
    </row>
    <row r="354" spans="1:11" ht="45" customHeight="1">
      <c r="A354" s="30">
        <v>105</v>
      </c>
      <c r="B354" s="45" t="s">
        <v>388</v>
      </c>
      <c r="C354" s="45" t="s">
        <v>1</v>
      </c>
      <c r="D354" s="45"/>
      <c r="E354" s="47">
        <v>51486</v>
      </c>
      <c r="F354" s="30">
        <v>7</v>
      </c>
      <c r="G354" s="45" t="s">
        <v>3100</v>
      </c>
      <c r="H354" s="45" t="s">
        <v>3101</v>
      </c>
      <c r="I354" s="45" t="s">
        <v>43</v>
      </c>
      <c r="J354" s="45" t="s">
        <v>130</v>
      </c>
      <c r="K354" s="76" t="s">
        <v>3735</v>
      </c>
    </row>
    <row r="355" spans="1:11" ht="45" customHeight="1">
      <c r="A355" s="30">
        <v>105</v>
      </c>
      <c r="B355" s="45" t="s">
        <v>3105</v>
      </c>
      <c r="C355" s="45" t="s">
        <v>1</v>
      </c>
      <c r="D355" s="45"/>
      <c r="E355" s="47">
        <v>60000</v>
      </c>
      <c r="F355" s="30">
        <v>7</v>
      </c>
      <c r="G355" s="45" t="s">
        <v>3106</v>
      </c>
      <c r="H355" s="45" t="s">
        <v>3107</v>
      </c>
      <c r="I355" s="45" t="s">
        <v>40</v>
      </c>
      <c r="J355" s="45" t="s">
        <v>125</v>
      </c>
      <c r="K355" s="76" t="s">
        <v>3736</v>
      </c>
    </row>
    <row r="356" spans="1:11" ht="45" customHeight="1">
      <c r="A356" s="30">
        <v>105</v>
      </c>
      <c r="B356" s="51" t="s">
        <v>1521</v>
      </c>
      <c r="C356" s="45" t="s">
        <v>1</v>
      </c>
      <c r="D356" s="45"/>
      <c r="E356" s="47">
        <v>45618</v>
      </c>
      <c r="F356" s="30">
        <v>7</v>
      </c>
      <c r="G356" s="45" t="s">
        <v>3125</v>
      </c>
      <c r="H356" s="45" t="s">
        <v>3126</v>
      </c>
      <c r="I356" s="45" t="s">
        <v>40</v>
      </c>
      <c r="J356" s="45" t="s">
        <v>125</v>
      </c>
      <c r="K356" s="76" t="s">
        <v>3737</v>
      </c>
    </row>
    <row r="357" spans="1:11" ht="45" customHeight="1">
      <c r="A357" s="30">
        <v>105</v>
      </c>
      <c r="B357" s="45" t="s">
        <v>382</v>
      </c>
      <c r="C357" s="45" t="s">
        <v>1</v>
      </c>
      <c r="D357" s="45"/>
      <c r="E357" s="47">
        <v>49746</v>
      </c>
      <c r="F357" s="30">
        <v>7</v>
      </c>
      <c r="G357" s="45" t="s">
        <v>3111</v>
      </c>
      <c r="H357" s="45" t="s">
        <v>3112</v>
      </c>
      <c r="I357" s="45" t="s">
        <v>3113</v>
      </c>
      <c r="J357" s="45" t="s">
        <v>3114</v>
      </c>
      <c r="K357" s="76" t="s">
        <v>3738</v>
      </c>
    </row>
    <row r="358" spans="1:11" ht="45" customHeight="1">
      <c r="A358" s="30">
        <v>105</v>
      </c>
      <c r="B358" s="45" t="s">
        <v>382</v>
      </c>
      <c r="C358" s="45" t="s">
        <v>1</v>
      </c>
      <c r="D358" s="45"/>
      <c r="E358" s="47">
        <v>91996</v>
      </c>
      <c r="F358" s="30">
        <v>7</v>
      </c>
      <c r="G358" s="45" t="s">
        <v>3108</v>
      </c>
      <c r="H358" s="45" t="s">
        <v>3109</v>
      </c>
      <c r="I358" s="45" t="s">
        <v>86</v>
      </c>
      <c r="J358" s="45" t="s">
        <v>3110</v>
      </c>
      <c r="K358" s="76" t="s">
        <v>3739</v>
      </c>
    </row>
    <row r="359" spans="1:11" ht="45" customHeight="1">
      <c r="A359" s="30">
        <v>105</v>
      </c>
      <c r="B359" s="45" t="s">
        <v>383</v>
      </c>
      <c r="C359" s="45" t="s">
        <v>1</v>
      </c>
      <c r="D359" s="45"/>
      <c r="E359" s="47">
        <v>47585</v>
      </c>
      <c r="F359" s="30">
        <v>7</v>
      </c>
      <c r="G359" s="45" t="s">
        <v>3118</v>
      </c>
      <c r="H359" s="45" t="s">
        <v>3119</v>
      </c>
      <c r="I359" s="45" t="s">
        <v>3120</v>
      </c>
      <c r="J359" s="45" t="s">
        <v>3121</v>
      </c>
      <c r="K359" s="45" t="s">
        <v>3741</v>
      </c>
    </row>
    <row r="360" spans="1:11" ht="45" customHeight="1">
      <c r="A360" s="30">
        <v>105</v>
      </c>
      <c r="B360" s="45" t="s">
        <v>388</v>
      </c>
      <c r="C360" s="45" t="s">
        <v>1</v>
      </c>
      <c r="D360" s="45"/>
      <c r="E360" s="47">
        <v>79967</v>
      </c>
      <c r="F360" s="30">
        <v>7</v>
      </c>
      <c r="G360" s="51" t="s">
        <v>3122</v>
      </c>
      <c r="H360" s="45" t="s">
        <v>3123</v>
      </c>
      <c r="I360" s="45" t="s">
        <v>43</v>
      </c>
      <c r="J360" s="45" t="s">
        <v>130</v>
      </c>
      <c r="K360" s="76" t="s">
        <v>3740</v>
      </c>
    </row>
    <row r="361" spans="1:11" ht="45" customHeight="1">
      <c r="A361" s="30">
        <v>105</v>
      </c>
      <c r="B361" s="45" t="s">
        <v>386</v>
      </c>
      <c r="C361" s="45" t="s">
        <v>1</v>
      </c>
      <c r="D361" s="45"/>
      <c r="E361" s="47">
        <v>24218</v>
      </c>
      <c r="F361" s="30">
        <v>7</v>
      </c>
      <c r="G361" s="51" t="s">
        <v>3124</v>
      </c>
      <c r="H361" s="45" t="s">
        <v>2034</v>
      </c>
      <c r="I361" s="45" t="s">
        <v>131</v>
      </c>
      <c r="J361" s="45" t="s">
        <v>132</v>
      </c>
      <c r="K361" s="45" t="s">
        <v>3742</v>
      </c>
    </row>
    <row r="362" spans="1:11" ht="45" customHeight="1">
      <c r="A362" s="31"/>
      <c r="B362" s="58" t="s">
        <v>739</v>
      </c>
      <c r="C362" s="31"/>
      <c r="D362" s="31"/>
      <c r="E362" s="47">
        <f>SUM(E350:E361)</f>
        <v>709394</v>
      </c>
      <c r="F362" s="31"/>
      <c r="G362" s="31"/>
      <c r="H362" s="31"/>
      <c r="I362" s="31"/>
      <c r="J362" s="31"/>
      <c r="K362" s="86"/>
    </row>
    <row r="363" spans="1:11" ht="45" customHeight="1">
      <c r="A363" s="31"/>
      <c r="B363" s="60" t="s">
        <v>741</v>
      </c>
      <c r="C363" s="31"/>
      <c r="D363" s="31"/>
      <c r="E363" s="47"/>
      <c r="F363" s="31"/>
      <c r="G363" s="31"/>
      <c r="H363" s="31"/>
      <c r="I363" s="31"/>
      <c r="J363" s="31"/>
      <c r="K363" s="98"/>
    </row>
    <row r="364" spans="1:11" ht="45" customHeight="1">
      <c r="A364" s="30">
        <v>105</v>
      </c>
      <c r="B364" s="45" t="s">
        <v>1527</v>
      </c>
      <c r="C364" s="45" t="s">
        <v>1</v>
      </c>
      <c r="D364" s="45"/>
      <c r="E364" s="47">
        <v>98778</v>
      </c>
      <c r="F364" s="30">
        <v>7</v>
      </c>
      <c r="G364" s="45" t="s">
        <v>3864</v>
      </c>
      <c r="H364" s="45" t="s">
        <v>3130</v>
      </c>
      <c r="I364" s="45" t="s">
        <v>43</v>
      </c>
      <c r="J364" s="45" t="s">
        <v>130</v>
      </c>
      <c r="K364" s="45" t="str">
        <f>"00028244"</f>
        <v>00028244</v>
      </c>
    </row>
    <row r="365" spans="1:11" ht="45" customHeight="1">
      <c r="A365" s="30">
        <v>105</v>
      </c>
      <c r="B365" s="45" t="s">
        <v>3128</v>
      </c>
      <c r="C365" s="45" t="s">
        <v>1</v>
      </c>
      <c r="D365" s="45"/>
      <c r="E365" s="47">
        <v>69379</v>
      </c>
      <c r="F365" s="30">
        <v>7</v>
      </c>
      <c r="G365" s="51" t="s">
        <v>3865</v>
      </c>
      <c r="H365" s="45" t="s">
        <v>1858</v>
      </c>
      <c r="I365" s="45" t="s">
        <v>764</v>
      </c>
      <c r="J365" s="45" t="s">
        <v>3129</v>
      </c>
      <c r="K365" s="49" t="s">
        <v>3869</v>
      </c>
    </row>
    <row r="366" spans="1:11" ht="45" customHeight="1">
      <c r="A366" s="30">
        <v>105</v>
      </c>
      <c r="B366" s="45" t="s">
        <v>743</v>
      </c>
      <c r="C366" s="45" t="s">
        <v>1</v>
      </c>
      <c r="D366" s="45"/>
      <c r="E366" s="47">
        <v>33321</v>
      </c>
      <c r="F366" s="30">
        <v>7</v>
      </c>
      <c r="G366" s="45" t="s">
        <v>3866</v>
      </c>
      <c r="H366" s="45" t="s">
        <v>960</v>
      </c>
      <c r="I366" s="45" t="s">
        <v>126</v>
      </c>
      <c r="J366" s="45" t="s">
        <v>127</v>
      </c>
      <c r="K366" s="45" t="str">
        <f>"00027280"</f>
        <v>00027280</v>
      </c>
    </row>
    <row r="367" spans="1:11" ht="45" customHeight="1">
      <c r="A367" s="30">
        <v>105</v>
      </c>
      <c r="B367" s="45" t="s">
        <v>1526</v>
      </c>
      <c r="C367" s="45" t="s">
        <v>1</v>
      </c>
      <c r="D367" s="45"/>
      <c r="E367" s="47">
        <v>111602</v>
      </c>
      <c r="F367" s="30">
        <v>7</v>
      </c>
      <c r="G367" s="49" t="s">
        <v>3868</v>
      </c>
      <c r="H367" s="45" t="s">
        <v>3127</v>
      </c>
      <c r="I367" s="45" t="s">
        <v>40</v>
      </c>
      <c r="J367" s="45" t="s">
        <v>125</v>
      </c>
      <c r="K367" s="45" t="str">
        <f>"00029047"</f>
        <v>00029047</v>
      </c>
    </row>
    <row r="368" spans="1:11" ht="45" customHeight="1">
      <c r="A368" s="30">
        <v>105</v>
      </c>
      <c r="B368" s="45" t="s">
        <v>2386</v>
      </c>
      <c r="C368" s="45" t="s">
        <v>1</v>
      </c>
      <c r="D368" s="45"/>
      <c r="E368" s="47">
        <v>60891</v>
      </c>
      <c r="F368" s="30">
        <v>7</v>
      </c>
      <c r="G368" s="49" t="s">
        <v>3867</v>
      </c>
      <c r="H368" s="45" t="s">
        <v>3131</v>
      </c>
      <c r="I368" s="45" t="s">
        <v>43</v>
      </c>
      <c r="J368" s="45" t="s">
        <v>130</v>
      </c>
      <c r="K368" s="49" t="s">
        <v>3870</v>
      </c>
    </row>
    <row r="369" spans="1:11" ht="45" customHeight="1">
      <c r="A369" s="31"/>
      <c r="B369" s="58" t="s">
        <v>742</v>
      </c>
      <c r="C369" s="31"/>
      <c r="D369" s="31"/>
      <c r="E369" s="47">
        <f>SUM(E364:E368)</f>
        <v>373971</v>
      </c>
      <c r="F369" s="31"/>
      <c r="G369" s="31"/>
      <c r="H369" s="31"/>
      <c r="I369" s="31"/>
      <c r="J369" s="31"/>
      <c r="K369" s="86"/>
    </row>
    <row r="370" spans="1:11" ht="45" customHeight="1">
      <c r="A370" s="31"/>
      <c r="B370" s="60" t="s">
        <v>746</v>
      </c>
      <c r="C370" s="31"/>
      <c r="D370" s="31"/>
      <c r="E370" s="47"/>
      <c r="F370" s="31"/>
      <c r="G370" s="31"/>
      <c r="H370" s="31"/>
      <c r="I370" s="31"/>
      <c r="J370" s="31"/>
      <c r="K370" s="98"/>
    </row>
    <row r="371" spans="1:11" ht="45" customHeight="1">
      <c r="A371" s="30">
        <v>105</v>
      </c>
      <c r="B371" s="45" t="s">
        <v>3133</v>
      </c>
      <c r="C371" s="45" t="s">
        <v>1</v>
      </c>
      <c r="D371" s="45"/>
      <c r="E371" s="47">
        <v>22365</v>
      </c>
      <c r="F371" s="30">
        <v>7</v>
      </c>
      <c r="G371" s="45" t="s">
        <v>3878</v>
      </c>
      <c r="H371" s="45" t="s">
        <v>2417</v>
      </c>
      <c r="I371" s="45" t="s">
        <v>64</v>
      </c>
      <c r="J371" s="45" t="s">
        <v>732</v>
      </c>
      <c r="K371" s="76" t="s">
        <v>3880</v>
      </c>
    </row>
    <row r="372" spans="1:11" ht="45" customHeight="1">
      <c r="A372" s="30">
        <v>105</v>
      </c>
      <c r="B372" s="45" t="s">
        <v>3132</v>
      </c>
      <c r="C372" s="45" t="s">
        <v>1</v>
      </c>
      <c r="D372" s="45"/>
      <c r="E372" s="47">
        <v>25841</v>
      </c>
      <c r="F372" s="30">
        <v>7</v>
      </c>
      <c r="G372" s="45" t="s">
        <v>3879</v>
      </c>
      <c r="H372" s="45" t="s">
        <v>2746</v>
      </c>
      <c r="I372" s="45" t="s">
        <v>43</v>
      </c>
      <c r="J372" s="45" t="s">
        <v>130</v>
      </c>
      <c r="K372" s="76" t="s">
        <v>3881</v>
      </c>
    </row>
    <row r="373" spans="1:11" ht="45" customHeight="1">
      <c r="A373" s="31"/>
      <c r="B373" s="58" t="s">
        <v>747</v>
      </c>
      <c r="C373" s="31"/>
      <c r="D373" s="31"/>
      <c r="E373" s="47">
        <f>SUM(E371:E372)</f>
        <v>48206</v>
      </c>
      <c r="F373" s="31"/>
      <c r="G373" s="31"/>
      <c r="H373" s="31"/>
      <c r="I373" s="31"/>
      <c r="J373" s="31"/>
      <c r="K373" s="86"/>
    </row>
    <row r="374" spans="1:11" ht="45" customHeight="1">
      <c r="A374" s="30"/>
      <c r="B374" s="60" t="s">
        <v>452</v>
      </c>
      <c r="C374" s="45"/>
      <c r="D374" s="46"/>
      <c r="E374" s="47"/>
      <c r="F374" s="48"/>
      <c r="G374" s="45"/>
      <c r="H374" s="30"/>
      <c r="I374" s="45"/>
      <c r="J374" s="45"/>
      <c r="K374" s="50"/>
    </row>
    <row r="375" spans="1:11" ht="45" customHeight="1">
      <c r="A375" s="30">
        <v>105</v>
      </c>
      <c r="B375" s="45" t="s">
        <v>446</v>
      </c>
      <c r="C375" s="45" t="s">
        <v>1</v>
      </c>
      <c r="D375" s="45"/>
      <c r="E375" s="47">
        <v>117758</v>
      </c>
      <c r="F375" s="30">
        <v>7</v>
      </c>
      <c r="G375" s="49" t="s">
        <v>3981</v>
      </c>
      <c r="H375" s="45" t="s">
        <v>3135</v>
      </c>
      <c r="I375" s="45" t="s">
        <v>126</v>
      </c>
      <c r="J375" s="45" t="s">
        <v>720</v>
      </c>
      <c r="K375" s="49" t="s">
        <v>3982</v>
      </c>
    </row>
    <row r="376" spans="1:11" ht="45" customHeight="1">
      <c r="A376" s="30">
        <v>105</v>
      </c>
      <c r="B376" s="45" t="s">
        <v>446</v>
      </c>
      <c r="C376" s="45" t="s">
        <v>1</v>
      </c>
      <c r="D376" s="45"/>
      <c r="E376" s="47">
        <v>43324</v>
      </c>
      <c r="F376" s="30">
        <v>7</v>
      </c>
      <c r="G376" s="49" t="s">
        <v>3983</v>
      </c>
      <c r="H376" s="45" t="s">
        <v>3134</v>
      </c>
      <c r="I376" s="45" t="s">
        <v>43</v>
      </c>
      <c r="J376" s="45" t="s">
        <v>130</v>
      </c>
      <c r="K376" s="49" t="s">
        <v>3984</v>
      </c>
    </row>
    <row r="377" spans="1:11" ht="45" customHeight="1">
      <c r="A377" s="30">
        <v>105</v>
      </c>
      <c r="B377" s="45" t="s">
        <v>447</v>
      </c>
      <c r="C377" s="45" t="s">
        <v>1</v>
      </c>
      <c r="D377" s="45"/>
      <c r="E377" s="47">
        <v>11725</v>
      </c>
      <c r="F377" s="30">
        <v>7</v>
      </c>
      <c r="G377" s="45" t="s">
        <v>3974</v>
      </c>
      <c r="H377" s="45" t="s">
        <v>1312</v>
      </c>
      <c r="I377" s="45" t="s">
        <v>2805</v>
      </c>
      <c r="J377" s="51" t="s">
        <v>2806</v>
      </c>
      <c r="K377" s="49" t="s">
        <v>3975</v>
      </c>
    </row>
    <row r="378" spans="1:11" ht="45" customHeight="1">
      <c r="A378" s="30"/>
      <c r="B378" s="58" t="s">
        <v>453</v>
      </c>
      <c r="C378" s="45"/>
      <c r="D378" s="46"/>
      <c r="E378" s="47">
        <f>SUM(E375:E377)</f>
        <v>172807</v>
      </c>
      <c r="F378" s="48"/>
      <c r="G378" s="45"/>
      <c r="H378" s="30"/>
      <c r="I378" s="45"/>
      <c r="J378" s="45"/>
      <c r="K378" s="50"/>
    </row>
    <row r="379" spans="1:11" ht="45" customHeight="1">
      <c r="A379" s="31"/>
      <c r="B379" s="60" t="s">
        <v>755</v>
      </c>
      <c r="C379" s="31"/>
      <c r="D379" s="31"/>
      <c r="E379" s="47"/>
      <c r="F379" s="31"/>
      <c r="G379" s="31"/>
      <c r="H379" s="31"/>
      <c r="I379" s="31"/>
      <c r="J379" s="31"/>
      <c r="K379" s="98"/>
    </row>
    <row r="380" spans="1:11" ht="45" customHeight="1">
      <c r="A380" s="30">
        <v>105</v>
      </c>
      <c r="B380" s="45" t="s">
        <v>3139</v>
      </c>
      <c r="C380" s="45" t="s">
        <v>1</v>
      </c>
      <c r="D380" s="45"/>
      <c r="E380" s="47">
        <v>9500</v>
      </c>
      <c r="F380" s="30">
        <v>7</v>
      </c>
      <c r="G380" s="51" t="s">
        <v>3144</v>
      </c>
      <c r="H380" s="45" t="s">
        <v>3145</v>
      </c>
      <c r="I380" s="45" t="s">
        <v>40</v>
      </c>
      <c r="J380" s="51" t="s">
        <v>3146</v>
      </c>
      <c r="K380" s="55" t="s">
        <v>6078</v>
      </c>
    </row>
    <row r="381" spans="1:11" ht="45" customHeight="1">
      <c r="A381" s="30">
        <v>105</v>
      </c>
      <c r="B381" s="45" t="s">
        <v>3139</v>
      </c>
      <c r="C381" s="45" t="s">
        <v>1</v>
      </c>
      <c r="D381" s="45"/>
      <c r="E381" s="47">
        <v>12000</v>
      </c>
      <c r="F381" s="30">
        <v>7</v>
      </c>
      <c r="G381" s="45" t="s">
        <v>3147</v>
      </c>
      <c r="H381" s="45" t="s">
        <v>3148</v>
      </c>
      <c r="I381" s="45" t="s">
        <v>40</v>
      </c>
      <c r="J381" s="45" t="s">
        <v>125</v>
      </c>
      <c r="K381" s="55" t="s">
        <v>6079</v>
      </c>
    </row>
    <row r="382" spans="1:11" ht="45" customHeight="1">
      <c r="A382" s="30">
        <v>105</v>
      </c>
      <c r="B382" s="45" t="s">
        <v>3139</v>
      </c>
      <c r="C382" s="45" t="s">
        <v>1</v>
      </c>
      <c r="D382" s="45"/>
      <c r="E382" s="47">
        <v>10420</v>
      </c>
      <c r="F382" s="30">
        <v>7</v>
      </c>
      <c r="G382" s="45" t="s">
        <v>3140</v>
      </c>
      <c r="H382" s="45" t="s">
        <v>3141</v>
      </c>
      <c r="I382" s="45" t="s">
        <v>40</v>
      </c>
      <c r="J382" s="45" t="s">
        <v>125</v>
      </c>
      <c r="K382" s="55" t="s">
        <v>6080</v>
      </c>
    </row>
    <row r="383" spans="1:11" ht="45" customHeight="1">
      <c r="A383" s="30">
        <v>105</v>
      </c>
      <c r="B383" s="45" t="s">
        <v>749</v>
      </c>
      <c r="C383" s="45" t="s">
        <v>1</v>
      </c>
      <c r="D383" s="45"/>
      <c r="E383" s="47">
        <v>58103</v>
      </c>
      <c r="F383" s="30">
        <v>7</v>
      </c>
      <c r="G383" s="45" t="s">
        <v>3150</v>
      </c>
      <c r="H383" s="45" t="s">
        <v>1568</v>
      </c>
      <c r="I383" s="45" t="s">
        <v>43</v>
      </c>
      <c r="J383" s="45" t="s">
        <v>130</v>
      </c>
      <c r="K383" s="49" t="s">
        <v>6081</v>
      </c>
    </row>
    <row r="384" spans="1:11" ht="45" customHeight="1">
      <c r="A384" s="30">
        <v>105</v>
      </c>
      <c r="B384" s="45" t="s">
        <v>750</v>
      </c>
      <c r="C384" s="45" t="s">
        <v>1</v>
      </c>
      <c r="D384" s="45"/>
      <c r="E384" s="47">
        <v>37759</v>
      </c>
      <c r="F384" s="30">
        <v>7</v>
      </c>
      <c r="G384" s="45" t="s">
        <v>3160</v>
      </c>
      <c r="H384" s="45" t="s">
        <v>2186</v>
      </c>
      <c r="I384" s="45" t="s">
        <v>142</v>
      </c>
      <c r="J384" s="45" t="s">
        <v>207</v>
      </c>
      <c r="K384" s="53" t="s">
        <v>5370</v>
      </c>
    </row>
    <row r="385" spans="1:11" ht="45" customHeight="1">
      <c r="A385" s="30">
        <v>105</v>
      </c>
      <c r="B385" s="45" t="s">
        <v>3139</v>
      </c>
      <c r="C385" s="45" t="s">
        <v>1</v>
      </c>
      <c r="D385" s="45"/>
      <c r="E385" s="47">
        <v>6532</v>
      </c>
      <c r="F385" s="30">
        <v>7</v>
      </c>
      <c r="G385" s="45" t="s">
        <v>3159</v>
      </c>
      <c r="H385" s="45" t="s">
        <v>1707</v>
      </c>
      <c r="I385" s="45" t="s">
        <v>40</v>
      </c>
      <c r="J385" s="45" t="s">
        <v>125</v>
      </c>
      <c r="K385" s="55" t="s">
        <v>6082</v>
      </c>
    </row>
    <row r="386" spans="1:11" ht="45" customHeight="1">
      <c r="A386" s="30">
        <v>105</v>
      </c>
      <c r="B386" s="45" t="s">
        <v>3139</v>
      </c>
      <c r="C386" s="45" t="s">
        <v>1</v>
      </c>
      <c r="D386" s="45"/>
      <c r="E386" s="47">
        <v>12000</v>
      </c>
      <c r="F386" s="30">
        <v>7</v>
      </c>
      <c r="G386" s="45" t="s">
        <v>3142</v>
      </c>
      <c r="H386" s="45" t="s">
        <v>3143</v>
      </c>
      <c r="I386" s="45" t="s">
        <v>40</v>
      </c>
      <c r="J386" s="45" t="s">
        <v>125</v>
      </c>
      <c r="K386" s="45" t="str">
        <f>"00027404"</f>
        <v>00027404</v>
      </c>
    </row>
    <row r="387" spans="1:11" ht="45" customHeight="1">
      <c r="A387" s="30">
        <v>105</v>
      </c>
      <c r="B387" s="45" t="s">
        <v>3155</v>
      </c>
      <c r="C387" s="45" t="s">
        <v>1</v>
      </c>
      <c r="D387" s="45"/>
      <c r="E387" s="47">
        <v>83326</v>
      </c>
      <c r="F387" s="30">
        <v>7</v>
      </c>
      <c r="G387" s="45" t="s">
        <v>751</v>
      </c>
      <c r="H387" s="45" t="s">
        <v>3156</v>
      </c>
      <c r="I387" s="45" t="s">
        <v>3157</v>
      </c>
      <c r="J387" s="45" t="s">
        <v>3158</v>
      </c>
      <c r="K387" s="45" t="str">
        <f>"00030282"</f>
        <v>00030282</v>
      </c>
    </row>
    <row r="388" spans="1:11" ht="45" customHeight="1">
      <c r="A388" s="30">
        <v>105</v>
      </c>
      <c r="B388" s="45" t="s">
        <v>749</v>
      </c>
      <c r="C388" s="45" t="s">
        <v>1</v>
      </c>
      <c r="D388" s="45"/>
      <c r="E388" s="47">
        <v>31176</v>
      </c>
      <c r="F388" s="30">
        <v>7</v>
      </c>
      <c r="G388" s="45" t="s">
        <v>5361</v>
      </c>
      <c r="H388" s="45" t="s">
        <v>5362</v>
      </c>
      <c r="I388" s="45" t="s">
        <v>43</v>
      </c>
      <c r="J388" s="45" t="s">
        <v>130</v>
      </c>
      <c r="K388" s="137" t="s">
        <v>5372</v>
      </c>
    </row>
    <row r="389" spans="1:11" ht="45" customHeight="1">
      <c r="A389" s="30">
        <v>105</v>
      </c>
      <c r="B389" s="45" t="s">
        <v>752</v>
      </c>
      <c r="C389" s="45" t="s">
        <v>1</v>
      </c>
      <c r="D389" s="45"/>
      <c r="E389" s="47">
        <v>12586</v>
      </c>
      <c r="F389" s="30">
        <v>7</v>
      </c>
      <c r="G389" s="45" t="s">
        <v>751</v>
      </c>
      <c r="H389" s="45" t="s">
        <v>3154</v>
      </c>
      <c r="I389" s="45" t="s">
        <v>42</v>
      </c>
      <c r="J389" s="45" t="s">
        <v>138</v>
      </c>
      <c r="K389" s="45" t="str">
        <f>"00030280"</f>
        <v>00030280</v>
      </c>
    </row>
    <row r="390" spans="1:11" ht="45" customHeight="1">
      <c r="A390" s="30">
        <v>105</v>
      </c>
      <c r="B390" s="45" t="s">
        <v>3149</v>
      </c>
      <c r="C390" s="45" t="s">
        <v>1</v>
      </c>
      <c r="D390" s="45"/>
      <c r="E390" s="47">
        <v>29230</v>
      </c>
      <c r="F390" s="30">
        <v>7</v>
      </c>
      <c r="G390" s="45" t="s">
        <v>3150</v>
      </c>
      <c r="H390" s="45" t="s">
        <v>3151</v>
      </c>
      <c r="I390" s="45" t="s">
        <v>43</v>
      </c>
      <c r="J390" s="45" t="s">
        <v>130</v>
      </c>
      <c r="K390" s="45" t="s">
        <v>5366</v>
      </c>
    </row>
    <row r="391" spans="1:11" ht="45" customHeight="1">
      <c r="A391" s="30">
        <v>105</v>
      </c>
      <c r="B391" s="45" t="s">
        <v>3149</v>
      </c>
      <c r="C391" s="45" t="s">
        <v>1</v>
      </c>
      <c r="D391" s="45"/>
      <c r="E391" s="47">
        <v>34241</v>
      </c>
      <c r="F391" s="30">
        <v>7</v>
      </c>
      <c r="G391" s="45" t="s">
        <v>3150</v>
      </c>
      <c r="H391" s="45" t="s">
        <v>1603</v>
      </c>
      <c r="I391" s="45" t="s">
        <v>43</v>
      </c>
      <c r="J391" s="45" t="s">
        <v>130</v>
      </c>
      <c r="K391" s="45" t="s">
        <v>5367</v>
      </c>
    </row>
    <row r="392" spans="1:11" ht="45" customHeight="1">
      <c r="A392" s="30">
        <v>105</v>
      </c>
      <c r="B392" s="45" t="s">
        <v>3149</v>
      </c>
      <c r="C392" s="45" t="s">
        <v>1</v>
      </c>
      <c r="D392" s="45"/>
      <c r="E392" s="47">
        <v>53379</v>
      </c>
      <c r="F392" s="30">
        <v>7</v>
      </c>
      <c r="G392" s="45" t="s">
        <v>3153</v>
      </c>
      <c r="H392" s="45" t="s">
        <v>2287</v>
      </c>
      <c r="I392" s="45" t="s">
        <v>3084</v>
      </c>
      <c r="J392" s="45" t="s">
        <v>3085</v>
      </c>
      <c r="K392" s="45" t="s">
        <v>5368</v>
      </c>
    </row>
    <row r="393" spans="1:11" ht="45" customHeight="1">
      <c r="A393" s="30">
        <v>105</v>
      </c>
      <c r="B393" s="45" t="s">
        <v>458</v>
      </c>
      <c r="C393" s="45" t="s">
        <v>1</v>
      </c>
      <c r="D393" s="45"/>
      <c r="E393" s="47">
        <v>49429</v>
      </c>
      <c r="F393" s="30">
        <v>7</v>
      </c>
      <c r="G393" s="45" t="s">
        <v>3152</v>
      </c>
      <c r="H393" s="45" t="s">
        <v>2585</v>
      </c>
      <c r="I393" s="45" t="s">
        <v>129</v>
      </c>
      <c r="J393" s="45" t="s">
        <v>128</v>
      </c>
      <c r="K393" s="45" t="str">
        <f>"00031919"</f>
        <v>00031919</v>
      </c>
    </row>
    <row r="394" spans="1:11" ht="45" customHeight="1">
      <c r="A394" s="30">
        <v>105</v>
      </c>
      <c r="B394" s="45" t="s">
        <v>3149</v>
      </c>
      <c r="C394" s="45" t="s">
        <v>1</v>
      </c>
      <c r="D394" s="45"/>
      <c r="E394" s="47">
        <v>30784</v>
      </c>
      <c r="F394" s="30">
        <v>7</v>
      </c>
      <c r="G394" s="45" t="s">
        <v>751</v>
      </c>
      <c r="H394" s="45" t="s">
        <v>3164</v>
      </c>
      <c r="I394" s="45" t="s">
        <v>42</v>
      </c>
      <c r="J394" s="45" t="s">
        <v>138</v>
      </c>
      <c r="K394" s="45" t="s">
        <v>5369</v>
      </c>
    </row>
    <row r="395" spans="1:11" ht="45" customHeight="1">
      <c r="A395" s="30">
        <v>105</v>
      </c>
      <c r="B395" s="45" t="s">
        <v>3161</v>
      </c>
      <c r="C395" s="45" t="s">
        <v>1</v>
      </c>
      <c r="D395" s="45"/>
      <c r="E395" s="47">
        <v>46606</v>
      </c>
      <c r="F395" s="30">
        <v>7</v>
      </c>
      <c r="G395" s="45" t="s">
        <v>3162</v>
      </c>
      <c r="H395" s="45" t="s">
        <v>1542</v>
      </c>
      <c r="I395" s="45" t="s">
        <v>40</v>
      </c>
      <c r="J395" s="45" t="s">
        <v>125</v>
      </c>
      <c r="K395" s="51" t="s">
        <v>5371</v>
      </c>
    </row>
    <row r="396" spans="1:11" ht="45" customHeight="1">
      <c r="A396" s="30">
        <v>105</v>
      </c>
      <c r="B396" s="45" t="s">
        <v>5363</v>
      </c>
      <c r="C396" s="45" t="s">
        <v>1</v>
      </c>
      <c r="D396" s="45"/>
      <c r="E396" s="47">
        <v>30000</v>
      </c>
      <c r="F396" s="30">
        <v>7</v>
      </c>
      <c r="G396" s="45" t="s">
        <v>5364</v>
      </c>
      <c r="H396" s="45" t="s">
        <v>5365</v>
      </c>
      <c r="I396" s="45" t="s">
        <v>196</v>
      </c>
      <c r="J396" s="45" t="s">
        <v>125</v>
      </c>
      <c r="K396" s="45" t="str">
        <f>"00033079"</f>
        <v>00033079</v>
      </c>
    </row>
    <row r="397" spans="1:11" ht="45" customHeight="1">
      <c r="A397" s="139"/>
      <c r="B397" s="58" t="s">
        <v>756</v>
      </c>
      <c r="C397" s="139"/>
      <c r="D397" s="139"/>
      <c r="E397" s="47">
        <f>SUM(E380:E396)</f>
        <v>547071</v>
      </c>
      <c r="F397" s="139"/>
      <c r="G397" s="139"/>
      <c r="H397" s="139"/>
      <c r="I397" s="139"/>
      <c r="J397" s="139"/>
      <c r="K397" s="140"/>
    </row>
    <row r="398" spans="1:11" ht="45" customHeight="1">
      <c r="A398" s="139"/>
      <c r="B398" s="60" t="s">
        <v>757</v>
      </c>
      <c r="C398" s="139"/>
      <c r="D398" s="139"/>
      <c r="E398" s="47"/>
      <c r="F398" s="139"/>
      <c r="G398" s="139"/>
      <c r="H398" s="139"/>
      <c r="I398" s="139"/>
      <c r="J398" s="139"/>
      <c r="K398" s="98"/>
    </row>
    <row r="399" spans="1:11" ht="45" customHeight="1">
      <c r="A399" s="30">
        <v>105</v>
      </c>
      <c r="B399" s="45" t="s">
        <v>2628</v>
      </c>
      <c r="C399" s="45" t="s">
        <v>1</v>
      </c>
      <c r="D399" s="45"/>
      <c r="E399" s="47">
        <v>61159</v>
      </c>
      <c r="F399" s="30">
        <v>7</v>
      </c>
      <c r="G399" s="52" t="s">
        <v>4049</v>
      </c>
      <c r="H399" s="45" t="s">
        <v>3186</v>
      </c>
      <c r="I399" s="45" t="s">
        <v>31</v>
      </c>
      <c r="J399" s="45" t="s">
        <v>137</v>
      </c>
      <c r="K399" s="45" t="str">
        <f>"00028333"</f>
        <v>00028333</v>
      </c>
    </row>
    <row r="400" spans="1:11" ht="45" customHeight="1">
      <c r="A400" s="30">
        <v>105</v>
      </c>
      <c r="B400" s="49" t="s">
        <v>3184</v>
      </c>
      <c r="C400" s="45" t="s">
        <v>1</v>
      </c>
      <c r="D400" s="45"/>
      <c r="E400" s="47">
        <v>31469</v>
      </c>
      <c r="F400" s="30">
        <v>7</v>
      </c>
      <c r="G400" s="49" t="s">
        <v>4050</v>
      </c>
      <c r="H400" s="45" t="s">
        <v>3185</v>
      </c>
      <c r="I400" s="45" t="s">
        <v>2852</v>
      </c>
      <c r="J400" s="45" t="s">
        <v>2853</v>
      </c>
      <c r="K400" s="45" t="str">
        <f>"00028339"</f>
        <v>00028339</v>
      </c>
    </row>
    <row r="401" spans="1:11" ht="45" customHeight="1">
      <c r="A401" s="31"/>
      <c r="B401" s="58" t="s">
        <v>758</v>
      </c>
      <c r="C401" s="31"/>
      <c r="D401" s="31"/>
      <c r="E401" s="47">
        <f>SUM(E399:E400)</f>
        <v>92628</v>
      </c>
      <c r="F401" s="31"/>
      <c r="G401" s="141"/>
      <c r="H401" s="31"/>
      <c r="I401" s="31"/>
      <c r="J401" s="31"/>
      <c r="K401" s="86"/>
    </row>
    <row r="402" spans="1:11" ht="45" customHeight="1">
      <c r="A402" s="31"/>
      <c r="B402" s="60" t="s">
        <v>762</v>
      </c>
      <c r="C402" s="31"/>
      <c r="D402" s="31"/>
      <c r="E402" s="47"/>
      <c r="F402" s="31"/>
      <c r="G402" s="141"/>
      <c r="H402" s="31"/>
      <c r="I402" s="31"/>
      <c r="J402" s="31"/>
      <c r="K402" s="98"/>
    </row>
    <row r="403" spans="1:11" ht="45" customHeight="1">
      <c r="A403" s="30">
        <v>105</v>
      </c>
      <c r="B403" s="45" t="s">
        <v>487</v>
      </c>
      <c r="C403" s="45" t="s">
        <v>1</v>
      </c>
      <c r="D403" s="45"/>
      <c r="E403" s="47">
        <v>77480</v>
      </c>
      <c r="F403" s="30">
        <v>7</v>
      </c>
      <c r="G403" s="45" t="s">
        <v>5511</v>
      </c>
      <c r="H403" s="45" t="s">
        <v>3190</v>
      </c>
      <c r="I403" s="45" t="s">
        <v>3191</v>
      </c>
      <c r="J403" s="49" t="s">
        <v>3192</v>
      </c>
      <c r="K403" s="127">
        <v>29834</v>
      </c>
    </row>
    <row r="404" spans="1:11" ht="45" customHeight="1">
      <c r="A404" s="30">
        <v>105</v>
      </c>
      <c r="B404" s="45" t="s">
        <v>473</v>
      </c>
      <c r="C404" s="45" t="s">
        <v>1</v>
      </c>
      <c r="D404" s="45"/>
      <c r="E404" s="47">
        <v>17151</v>
      </c>
      <c r="F404" s="30">
        <v>7</v>
      </c>
      <c r="G404" s="45" t="s">
        <v>5512</v>
      </c>
      <c r="H404" s="45" t="s">
        <v>1594</v>
      </c>
      <c r="I404" s="45" t="s">
        <v>40</v>
      </c>
      <c r="J404" s="45" t="s">
        <v>125</v>
      </c>
      <c r="K404" s="127">
        <v>28861</v>
      </c>
    </row>
    <row r="405" spans="1:11" ht="45" customHeight="1">
      <c r="A405" s="30">
        <v>105</v>
      </c>
      <c r="B405" s="45" t="s">
        <v>472</v>
      </c>
      <c r="C405" s="45" t="s">
        <v>1</v>
      </c>
      <c r="D405" s="45"/>
      <c r="E405" s="47">
        <v>31564</v>
      </c>
      <c r="F405" s="30">
        <v>7</v>
      </c>
      <c r="G405" s="45" t="s">
        <v>5513</v>
      </c>
      <c r="H405" s="45" t="s">
        <v>3187</v>
      </c>
      <c r="I405" s="45" t="s">
        <v>722</v>
      </c>
      <c r="J405" s="45" t="s">
        <v>3188</v>
      </c>
      <c r="K405" s="127">
        <v>31535</v>
      </c>
    </row>
    <row r="406" spans="1:11" ht="45" customHeight="1">
      <c r="A406" s="30">
        <v>105</v>
      </c>
      <c r="B406" s="45" t="s">
        <v>3189</v>
      </c>
      <c r="C406" s="45" t="s">
        <v>1</v>
      </c>
      <c r="D406" s="45"/>
      <c r="E406" s="47">
        <v>39502</v>
      </c>
      <c r="F406" s="30">
        <v>7</v>
      </c>
      <c r="G406" s="45" t="s">
        <v>5514</v>
      </c>
      <c r="H406" s="45" t="s">
        <v>2483</v>
      </c>
      <c r="I406" s="45" t="s">
        <v>126</v>
      </c>
      <c r="J406" s="45" t="s">
        <v>720</v>
      </c>
      <c r="K406" s="127">
        <v>29499</v>
      </c>
    </row>
    <row r="407" spans="1:11" ht="45" customHeight="1">
      <c r="A407" s="30">
        <v>105</v>
      </c>
      <c r="B407" s="51" t="s">
        <v>2963</v>
      </c>
      <c r="C407" s="45" t="s">
        <v>1</v>
      </c>
      <c r="D407" s="45"/>
      <c r="E407" s="47">
        <v>24742</v>
      </c>
      <c r="F407" s="30">
        <v>7</v>
      </c>
      <c r="G407" s="49" t="s">
        <v>5515</v>
      </c>
      <c r="H407" s="45" t="s">
        <v>5510</v>
      </c>
      <c r="I407" s="45" t="s">
        <v>722</v>
      </c>
      <c r="J407" s="45" t="s">
        <v>2832</v>
      </c>
      <c r="K407" s="127">
        <v>31976</v>
      </c>
    </row>
    <row r="408" spans="1:11" ht="45" customHeight="1">
      <c r="A408" s="30">
        <v>104</v>
      </c>
      <c r="B408" s="45" t="s">
        <v>495</v>
      </c>
      <c r="C408" s="45" t="s">
        <v>1</v>
      </c>
      <c r="D408" s="45"/>
      <c r="E408" s="47">
        <v>46084</v>
      </c>
      <c r="F408" s="30">
        <v>7</v>
      </c>
      <c r="G408" s="45" t="s">
        <v>5516</v>
      </c>
      <c r="H408" s="45" t="s">
        <v>496</v>
      </c>
      <c r="I408" s="45" t="s">
        <v>40</v>
      </c>
      <c r="J408" s="45" t="s">
        <v>125</v>
      </c>
      <c r="K408" s="135" t="s">
        <v>5518</v>
      </c>
    </row>
    <row r="409" spans="1:11" ht="45" customHeight="1">
      <c r="A409" s="30">
        <v>105</v>
      </c>
      <c r="B409" s="45" t="s">
        <v>3189</v>
      </c>
      <c r="C409" s="45" t="s">
        <v>1</v>
      </c>
      <c r="D409" s="45"/>
      <c r="E409" s="47">
        <v>234</v>
      </c>
      <c r="F409" s="30">
        <v>7</v>
      </c>
      <c r="G409" s="45" t="s">
        <v>5517</v>
      </c>
      <c r="H409" s="45" t="s">
        <v>2483</v>
      </c>
      <c r="I409" s="45" t="s">
        <v>126</v>
      </c>
      <c r="J409" s="45" t="s">
        <v>720</v>
      </c>
      <c r="K409" s="129" t="s">
        <v>6083</v>
      </c>
    </row>
    <row r="410" spans="1:11" ht="45" customHeight="1">
      <c r="A410" s="30"/>
      <c r="B410" s="58" t="s">
        <v>763</v>
      </c>
      <c r="C410" s="45"/>
      <c r="D410" s="45"/>
      <c r="E410" s="47">
        <f>SUM(E403:E409)</f>
        <v>236757</v>
      </c>
      <c r="F410" s="30"/>
      <c r="G410" s="45"/>
      <c r="H410" s="45"/>
      <c r="I410" s="45"/>
      <c r="J410" s="45"/>
      <c r="K410" s="49"/>
    </row>
    <row r="411" spans="1:11" ht="45" customHeight="1">
      <c r="A411" s="30"/>
      <c r="B411" s="60" t="s">
        <v>766</v>
      </c>
      <c r="C411" s="45"/>
      <c r="D411" s="45"/>
      <c r="E411" s="47"/>
      <c r="F411" s="30"/>
      <c r="G411" s="45"/>
      <c r="H411" s="45"/>
      <c r="I411" s="45"/>
      <c r="J411" s="45"/>
      <c r="K411" s="147"/>
    </row>
    <row r="412" spans="1:11" ht="45" customHeight="1">
      <c r="A412" s="30">
        <v>105</v>
      </c>
      <c r="B412" s="45" t="s">
        <v>20</v>
      </c>
      <c r="C412" s="45" t="s">
        <v>1</v>
      </c>
      <c r="D412" s="45"/>
      <c r="E412" s="47">
        <v>51722</v>
      </c>
      <c r="F412" s="30">
        <v>7</v>
      </c>
      <c r="G412" s="45" t="s">
        <v>4429</v>
      </c>
      <c r="H412" s="45" t="s">
        <v>3195</v>
      </c>
      <c r="I412" s="45" t="s">
        <v>31</v>
      </c>
      <c r="J412" s="45" t="s">
        <v>716</v>
      </c>
      <c r="K412" s="127" t="str">
        <f>"00027156"</f>
        <v>00027156</v>
      </c>
    </row>
    <row r="413" spans="1:11" ht="45" customHeight="1">
      <c r="A413" s="30">
        <v>105</v>
      </c>
      <c r="B413" s="45" t="s">
        <v>765</v>
      </c>
      <c r="C413" s="45" t="s">
        <v>1</v>
      </c>
      <c r="D413" s="45"/>
      <c r="E413" s="47">
        <v>120183</v>
      </c>
      <c r="F413" s="30">
        <v>7</v>
      </c>
      <c r="G413" s="45" t="s">
        <v>4430</v>
      </c>
      <c r="H413" s="45" t="s">
        <v>3196</v>
      </c>
      <c r="I413" s="45" t="s">
        <v>131</v>
      </c>
      <c r="J413" s="45" t="s">
        <v>132</v>
      </c>
      <c r="K413" s="127" t="str">
        <f>"00028377"</f>
        <v>00028377</v>
      </c>
    </row>
    <row r="414" spans="1:11" ht="45" customHeight="1">
      <c r="A414" s="30">
        <v>105</v>
      </c>
      <c r="B414" s="45" t="s">
        <v>765</v>
      </c>
      <c r="C414" s="45" t="s">
        <v>1</v>
      </c>
      <c r="D414" s="45"/>
      <c r="E414" s="47">
        <v>18147</v>
      </c>
      <c r="F414" s="30">
        <v>7</v>
      </c>
      <c r="G414" s="45" t="s">
        <v>4430</v>
      </c>
      <c r="H414" s="45" t="s">
        <v>3193</v>
      </c>
      <c r="I414" s="45" t="s">
        <v>131</v>
      </c>
      <c r="J414" s="45" t="s">
        <v>132</v>
      </c>
      <c r="K414" s="127" t="str">
        <f>"00030052"</f>
        <v>00030052</v>
      </c>
    </row>
    <row r="415" spans="1:11" ht="45" customHeight="1">
      <c r="A415" s="30">
        <v>105</v>
      </c>
      <c r="B415" s="45" t="s">
        <v>765</v>
      </c>
      <c r="C415" s="45" t="s">
        <v>1</v>
      </c>
      <c r="D415" s="45"/>
      <c r="E415" s="47">
        <v>117350</v>
      </c>
      <c r="F415" s="30">
        <v>7</v>
      </c>
      <c r="G415" s="45" t="s">
        <v>4430</v>
      </c>
      <c r="H415" s="45" t="s">
        <v>3194</v>
      </c>
      <c r="I415" s="45" t="s">
        <v>131</v>
      </c>
      <c r="J415" s="45" t="s">
        <v>132</v>
      </c>
      <c r="K415" s="127" t="str">
        <f>"00031981"</f>
        <v>00031981</v>
      </c>
    </row>
    <row r="416" spans="1:11" ht="45" customHeight="1">
      <c r="A416" s="142"/>
      <c r="B416" s="58" t="s">
        <v>766</v>
      </c>
      <c r="C416" s="142"/>
      <c r="D416" s="142"/>
      <c r="E416" s="47">
        <f>SUM(E412:E415)</f>
        <v>307402</v>
      </c>
      <c r="F416" s="142"/>
      <c r="G416" s="142"/>
      <c r="H416" s="142"/>
      <c r="I416" s="142"/>
      <c r="J416" s="142"/>
      <c r="K416" s="98"/>
    </row>
    <row r="417" spans="1:11" ht="45" customHeight="1">
      <c r="A417" s="30"/>
      <c r="B417" s="56" t="s">
        <v>24</v>
      </c>
      <c r="C417" s="45"/>
      <c r="D417" s="45"/>
      <c r="E417" s="45"/>
      <c r="F417" s="30"/>
      <c r="G417" s="45"/>
      <c r="H417" s="45"/>
      <c r="I417" s="45"/>
      <c r="J417" s="45"/>
      <c r="K417" s="98"/>
    </row>
    <row r="418" spans="1:11" ht="45" customHeight="1">
      <c r="A418" s="30">
        <v>105</v>
      </c>
      <c r="B418" s="45" t="s">
        <v>4509</v>
      </c>
      <c r="C418" s="45" t="s">
        <v>4510</v>
      </c>
      <c r="D418" s="45"/>
      <c r="E418" s="47">
        <v>32610</v>
      </c>
      <c r="F418" s="30">
        <v>7</v>
      </c>
      <c r="G418" s="45" t="s">
        <v>4511</v>
      </c>
      <c r="H418" s="45" t="s">
        <v>2022</v>
      </c>
      <c r="I418" s="45" t="s">
        <v>4512</v>
      </c>
      <c r="J418" s="45" t="s">
        <v>4513</v>
      </c>
      <c r="K418" s="128" t="s">
        <v>4514</v>
      </c>
    </row>
    <row r="419" spans="1:11" ht="45" customHeight="1">
      <c r="A419" s="30">
        <v>105</v>
      </c>
      <c r="B419" s="45" t="s">
        <v>4515</v>
      </c>
      <c r="C419" s="45" t="s">
        <v>4510</v>
      </c>
      <c r="D419" s="45"/>
      <c r="E419" s="47">
        <v>20162</v>
      </c>
      <c r="F419" s="30">
        <v>7</v>
      </c>
      <c r="G419" s="45" t="s">
        <v>4516</v>
      </c>
      <c r="H419" s="45" t="s">
        <v>3197</v>
      </c>
      <c r="I419" s="45" t="s">
        <v>4517</v>
      </c>
      <c r="J419" s="45" t="s">
        <v>4518</v>
      </c>
      <c r="K419" s="127" t="s">
        <v>4519</v>
      </c>
    </row>
    <row r="420" spans="1:11" ht="45" customHeight="1">
      <c r="A420" s="30">
        <v>105</v>
      </c>
      <c r="B420" s="45" t="s">
        <v>4498</v>
      </c>
      <c r="C420" s="45" t="s">
        <v>4510</v>
      </c>
      <c r="D420" s="45"/>
      <c r="E420" s="47">
        <v>71768</v>
      </c>
      <c r="F420" s="30">
        <v>7</v>
      </c>
      <c r="G420" s="45" t="s">
        <v>4520</v>
      </c>
      <c r="H420" s="45" t="s">
        <v>2875</v>
      </c>
      <c r="I420" s="45" t="s">
        <v>4521</v>
      </c>
      <c r="J420" s="45" t="s">
        <v>4522</v>
      </c>
      <c r="K420" s="127" t="str">
        <f>"00027875"</f>
        <v>00027875</v>
      </c>
    </row>
    <row r="421" spans="1:11" ht="45" customHeight="1">
      <c r="A421" s="30">
        <v>105</v>
      </c>
      <c r="B421" s="45" t="s">
        <v>4523</v>
      </c>
      <c r="C421" s="45" t="s">
        <v>4510</v>
      </c>
      <c r="D421" s="45"/>
      <c r="E421" s="47">
        <v>30529</v>
      </c>
      <c r="F421" s="30">
        <v>7</v>
      </c>
      <c r="G421" s="45" t="s">
        <v>4524</v>
      </c>
      <c r="H421" s="45" t="s">
        <v>3198</v>
      </c>
      <c r="I421" s="45" t="s">
        <v>4525</v>
      </c>
      <c r="J421" s="45" t="s">
        <v>4526</v>
      </c>
      <c r="K421" s="128" t="s">
        <v>4529</v>
      </c>
    </row>
    <row r="422" spans="1:11" ht="45" customHeight="1">
      <c r="A422" s="30">
        <v>105</v>
      </c>
      <c r="B422" s="45" t="s">
        <v>4527</v>
      </c>
      <c r="C422" s="45" t="s">
        <v>4510</v>
      </c>
      <c r="D422" s="45"/>
      <c r="E422" s="47">
        <v>54879</v>
      </c>
      <c r="F422" s="30">
        <v>7</v>
      </c>
      <c r="G422" s="49" t="s">
        <v>4528</v>
      </c>
      <c r="H422" s="45" t="s">
        <v>3199</v>
      </c>
      <c r="I422" s="45" t="s">
        <v>4525</v>
      </c>
      <c r="J422" s="45" t="s">
        <v>4526</v>
      </c>
      <c r="K422" s="128" t="s">
        <v>4530</v>
      </c>
    </row>
    <row r="423" spans="1:11" ht="45" customHeight="1">
      <c r="A423" s="30"/>
      <c r="B423" s="58" t="s">
        <v>25</v>
      </c>
      <c r="C423" s="45"/>
      <c r="D423" s="45"/>
      <c r="E423" s="47">
        <f>SUM(E418:E422)</f>
        <v>209948</v>
      </c>
      <c r="F423" s="30"/>
      <c r="G423" s="45"/>
      <c r="H423" s="45"/>
      <c r="I423" s="45"/>
      <c r="J423" s="45"/>
      <c r="K423" s="98"/>
    </row>
    <row r="424" spans="1:11" ht="45" customHeight="1">
      <c r="A424" s="34"/>
      <c r="B424" s="60" t="s">
        <v>550</v>
      </c>
      <c r="C424" s="34"/>
      <c r="D424" s="34"/>
      <c r="E424" s="47"/>
      <c r="F424" s="34"/>
      <c r="G424" s="34"/>
      <c r="H424" s="34"/>
      <c r="I424" s="34"/>
      <c r="J424" s="34"/>
      <c r="K424" s="34"/>
    </row>
    <row r="425" spans="1:11" ht="45" customHeight="1">
      <c r="A425" s="30">
        <v>105</v>
      </c>
      <c r="B425" s="49" t="s">
        <v>2956</v>
      </c>
      <c r="C425" s="45" t="s">
        <v>1</v>
      </c>
      <c r="D425" s="45"/>
      <c r="E425" s="47">
        <v>27101</v>
      </c>
      <c r="F425" s="30">
        <v>7</v>
      </c>
      <c r="G425" s="45" t="s">
        <v>4656</v>
      </c>
      <c r="H425" s="45" t="s">
        <v>3136</v>
      </c>
      <c r="I425" s="45" t="s">
        <v>4657</v>
      </c>
      <c r="J425" s="45" t="s">
        <v>130</v>
      </c>
      <c r="K425" s="127" t="str">
        <f>"00030193"</f>
        <v>00030193</v>
      </c>
    </row>
    <row r="426" spans="1:11" ht="45" customHeight="1">
      <c r="A426" s="30">
        <v>105</v>
      </c>
      <c r="B426" s="49" t="s">
        <v>2956</v>
      </c>
      <c r="C426" s="45" t="s">
        <v>1</v>
      </c>
      <c r="D426" s="45"/>
      <c r="E426" s="47">
        <v>28701</v>
      </c>
      <c r="F426" s="30">
        <v>7</v>
      </c>
      <c r="G426" s="45" t="s">
        <v>4658</v>
      </c>
      <c r="H426" s="45" t="s">
        <v>3136</v>
      </c>
      <c r="I426" s="45" t="s">
        <v>4657</v>
      </c>
      <c r="J426" s="45" t="s">
        <v>130</v>
      </c>
      <c r="K426" s="127" t="str">
        <f>"00030110"</f>
        <v>00030110</v>
      </c>
    </row>
    <row r="427" spans="1:11" ht="45" customHeight="1">
      <c r="A427" s="30">
        <v>105</v>
      </c>
      <c r="B427" s="49" t="s">
        <v>2956</v>
      </c>
      <c r="C427" s="45" t="s">
        <v>1</v>
      </c>
      <c r="D427" s="45"/>
      <c r="E427" s="47">
        <v>14800</v>
      </c>
      <c r="F427" s="30">
        <v>7</v>
      </c>
      <c r="G427" s="45" t="s">
        <v>4659</v>
      </c>
      <c r="H427" s="45" t="s">
        <v>1798</v>
      </c>
      <c r="I427" s="45" t="s">
        <v>4657</v>
      </c>
      <c r="J427" s="45" t="s">
        <v>130</v>
      </c>
      <c r="K427" s="127" t="str">
        <f>"00029903"</f>
        <v>00029903</v>
      </c>
    </row>
    <row r="428" spans="1:11" ht="45" customHeight="1">
      <c r="A428" s="30">
        <v>105</v>
      </c>
      <c r="B428" s="49" t="s">
        <v>2956</v>
      </c>
      <c r="C428" s="45" t="s">
        <v>1</v>
      </c>
      <c r="D428" s="45"/>
      <c r="E428" s="47">
        <v>27101</v>
      </c>
      <c r="F428" s="30">
        <v>7</v>
      </c>
      <c r="G428" s="45" t="s">
        <v>4658</v>
      </c>
      <c r="H428" s="45" t="s">
        <v>3136</v>
      </c>
      <c r="I428" s="45" t="s">
        <v>4657</v>
      </c>
      <c r="J428" s="45" t="s">
        <v>130</v>
      </c>
      <c r="K428" s="127" t="str">
        <f>"00029946"</f>
        <v>00029946</v>
      </c>
    </row>
    <row r="429" spans="1:11" ht="45" customHeight="1">
      <c r="A429" s="30">
        <v>105</v>
      </c>
      <c r="B429" s="49" t="s">
        <v>2956</v>
      </c>
      <c r="C429" s="45" t="s">
        <v>1</v>
      </c>
      <c r="D429" s="45"/>
      <c r="E429" s="47">
        <v>27256</v>
      </c>
      <c r="F429" s="30">
        <v>7</v>
      </c>
      <c r="G429" s="45" t="s">
        <v>4660</v>
      </c>
      <c r="H429" s="45" t="s">
        <v>3136</v>
      </c>
      <c r="I429" s="45" t="s">
        <v>4657</v>
      </c>
      <c r="J429" s="45" t="s">
        <v>130</v>
      </c>
      <c r="K429" s="127" t="str">
        <f>"00030081"</f>
        <v>00030081</v>
      </c>
    </row>
    <row r="430" spans="1:11" ht="45" customHeight="1">
      <c r="A430" s="30">
        <v>105</v>
      </c>
      <c r="B430" s="49" t="s">
        <v>2956</v>
      </c>
      <c r="C430" s="45" t="s">
        <v>1</v>
      </c>
      <c r="D430" s="45"/>
      <c r="E430" s="47">
        <v>26031</v>
      </c>
      <c r="F430" s="30">
        <v>7</v>
      </c>
      <c r="G430" s="45" t="s">
        <v>4658</v>
      </c>
      <c r="H430" s="45" t="s">
        <v>3136</v>
      </c>
      <c r="I430" s="45" t="s">
        <v>4657</v>
      </c>
      <c r="J430" s="45" t="s">
        <v>130</v>
      </c>
      <c r="K430" s="127" t="str">
        <f>"00030161"</f>
        <v>00030161</v>
      </c>
    </row>
    <row r="431" spans="1:11" ht="45" customHeight="1">
      <c r="A431" s="31"/>
      <c r="B431" s="58" t="s">
        <v>535</v>
      </c>
      <c r="C431" s="31"/>
      <c r="D431" s="31"/>
      <c r="E431" s="47">
        <f>SUM(E425:E430)</f>
        <v>150990</v>
      </c>
      <c r="F431" s="31"/>
      <c r="G431" s="31"/>
      <c r="H431" s="31"/>
      <c r="I431" s="31"/>
      <c r="J431" s="31"/>
      <c r="K431" s="86"/>
    </row>
    <row r="432" spans="1:11" ht="45" customHeight="1">
      <c r="A432" s="30"/>
      <c r="B432" s="60" t="s">
        <v>770</v>
      </c>
      <c r="C432" s="45"/>
      <c r="D432" s="45"/>
      <c r="E432" s="45"/>
      <c r="F432" s="30"/>
      <c r="G432" s="45"/>
      <c r="H432" s="45"/>
      <c r="I432" s="45"/>
      <c r="J432" s="45"/>
      <c r="K432" s="45"/>
    </row>
    <row r="433" spans="1:11" ht="45" customHeight="1">
      <c r="A433" s="30">
        <v>105</v>
      </c>
      <c r="B433" s="45" t="s">
        <v>1822</v>
      </c>
      <c r="C433" s="45" t="s">
        <v>1</v>
      </c>
      <c r="D433" s="45"/>
      <c r="E433" s="47">
        <v>122658</v>
      </c>
      <c r="F433" s="30">
        <v>7</v>
      </c>
      <c r="G433" s="45" t="s">
        <v>4661</v>
      </c>
      <c r="H433" s="45" t="s">
        <v>3137</v>
      </c>
      <c r="I433" s="45" t="s">
        <v>4662</v>
      </c>
      <c r="J433" s="49" t="s">
        <v>3138</v>
      </c>
      <c r="K433" s="129" t="s">
        <v>4663</v>
      </c>
    </row>
    <row r="434" spans="1:11" ht="45" customHeight="1">
      <c r="A434" s="30">
        <v>104</v>
      </c>
      <c r="B434" s="76" t="s">
        <v>552</v>
      </c>
      <c r="C434" s="45" t="s">
        <v>1</v>
      </c>
      <c r="D434" s="45"/>
      <c r="E434" s="47">
        <v>5760</v>
      </c>
      <c r="F434" s="30">
        <v>7</v>
      </c>
      <c r="G434" s="45" t="s">
        <v>565</v>
      </c>
      <c r="H434" s="45" t="s">
        <v>553</v>
      </c>
      <c r="I434" s="45" t="s">
        <v>779</v>
      </c>
      <c r="J434" s="51" t="s">
        <v>554</v>
      </c>
      <c r="K434" s="129" t="s">
        <v>4919</v>
      </c>
    </row>
    <row r="435" spans="1:11" ht="45" customHeight="1">
      <c r="A435" s="30"/>
      <c r="B435" s="58" t="s">
        <v>769</v>
      </c>
      <c r="C435" s="45"/>
      <c r="D435" s="45"/>
      <c r="E435" s="47">
        <f>SUM(E433:E434)</f>
        <v>128418</v>
      </c>
      <c r="F435" s="30"/>
      <c r="G435" s="45"/>
      <c r="H435" s="45"/>
      <c r="I435" s="45"/>
      <c r="J435" s="45"/>
      <c r="K435" s="98"/>
    </row>
    <row r="436" spans="1:11" ht="45" customHeight="1">
      <c r="A436" s="31"/>
      <c r="B436" s="60" t="s">
        <v>571</v>
      </c>
      <c r="C436" s="31"/>
      <c r="D436" s="31"/>
      <c r="E436" s="47"/>
      <c r="F436" s="31"/>
      <c r="G436" s="31"/>
      <c r="H436" s="31"/>
      <c r="I436" s="31"/>
      <c r="J436" s="31"/>
      <c r="K436" s="31"/>
    </row>
    <row r="437" spans="1:11" ht="45" customHeight="1">
      <c r="A437" s="30">
        <v>105</v>
      </c>
      <c r="B437" s="45" t="s">
        <v>2008</v>
      </c>
      <c r="C437" s="45" t="s">
        <v>1</v>
      </c>
      <c r="D437" s="45"/>
      <c r="E437" s="47">
        <v>39189</v>
      </c>
      <c r="F437" s="30">
        <v>7</v>
      </c>
      <c r="G437" s="45" t="s">
        <v>4820</v>
      </c>
      <c r="H437" s="45" t="s">
        <v>3204</v>
      </c>
      <c r="I437" s="45" t="s">
        <v>40</v>
      </c>
      <c r="J437" s="45" t="s">
        <v>125</v>
      </c>
      <c r="K437" s="130" t="s">
        <v>4823</v>
      </c>
    </row>
    <row r="438" spans="1:11" ht="45" customHeight="1">
      <c r="A438" s="30">
        <v>105</v>
      </c>
      <c r="B438" s="51" t="s">
        <v>3200</v>
      </c>
      <c r="C438" s="45" t="s">
        <v>1</v>
      </c>
      <c r="D438" s="45"/>
      <c r="E438" s="47">
        <v>67849</v>
      </c>
      <c r="F438" s="30">
        <v>7</v>
      </c>
      <c r="G438" s="76" t="s">
        <v>4821</v>
      </c>
      <c r="H438" s="45" t="s">
        <v>2983</v>
      </c>
      <c r="I438" s="45" t="s">
        <v>40</v>
      </c>
      <c r="J438" s="45" t="s">
        <v>125</v>
      </c>
      <c r="K438" s="130" t="s">
        <v>4824</v>
      </c>
    </row>
    <row r="439" spans="1:11" ht="45" customHeight="1">
      <c r="A439" s="30">
        <v>105</v>
      </c>
      <c r="B439" s="45" t="s">
        <v>2010</v>
      </c>
      <c r="C439" s="45" t="s">
        <v>1</v>
      </c>
      <c r="D439" s="45"/>
      <c r="E439" s="47">
        <v>119556</v>
      </c>
      <c r="F439" s="30">
        <v>7</v>
      </c>
      <c r="G439" s="52" t="s">
        <v>4822</v>
      </c>
      <c r="H439" s="45" t="s">
        <v>3201</v>
      </c>
      <c r="I439" s="45" t="s">
        <v>3202</v>
      </c>
      <c r="J439" s="51" t="s">
        <v>3203</v>
      </c>
      <c r="K439" s="130" t="s">
        <v>4825</v>
      </c>
    </row>
    <row r="440" spans="1:11" ht="45" customHeight="1">
      <c r="A440" s="31"/>
      <c r="B440" s="58" t="s">
        <v>572</v>
      </c>
      <c r="C440" s="31"/>
      <c r="D440" s="31"/>
      <c r="E440" s="47">
        <f>SUM(E437:E439)</f>
        <v>226594</v>
      </c>
      <c r="F440" s="31"/>
      <c r="G440" s="31"/>
      <c r="H440" s="31"/>
      <c r="I440" s="31"/>
      <c r="J440" s="31"/>
      <c r="K440" s="86"/>
    </row>
    <row r="441" spans="1:11" ht="45" customHeight="1">
      <c r="A441" s="30"/>
      <c r="B441" s="56" t="s">
        <v>34</v>
      </c>
      <c r="C441" s="45"/>
      <c r="D441" s="45"/>
      <c r="E441" s="45"/>
      <c r="F441" s="30"/>
      <c r="G441" s="45"/>
      <c r="H441" s="45"/>
      <c r="I441" s="45"/>
      <c r="J441" s="45"/>
      <c r="K441" s="98"/>
    </row>
    <row r="442" spans="1:11" ht="45" customHeight="1">
      <c r="A442" s="30">
        <v>105</v>
      </c>
      <c r="B442" s="45" t="s">
        <v>606</v>
      </c>
      <c r="C442" s="45" t="s">
        <v>1</v>
      </c>
      <c r="D442" s="45"/>
      <c r="E442" s="47">
        <v>37275</v>
      </c>
      <c r="F442" s="30">
        <v>7</v>
      </c>
      <c r="G442" s="45" t="s">
        <v>4983</v>
      </c>
      <c r="H442" s="45" t="s">
        <v>2992</v>
      </c>
      <c r="I442" s="45" t="s">
        <v>723</v>
      </c>
      <c r="J442" s="45" t="s">
        <v>197</v>
      </c>
      <c r="K442" s="127" t="str">
        <f>"00028897"</f>
        <v>00028897</v>
      </c>
    </row>
    <row r="443" spans="1:11" ht="45" customHeight="1">
      <c r="A443" s="30">
        <v>105</v>
      </c>
      <c r="B443" s="45" t="s">
        <v>606</v>
      </c>
      <c r="C443" s="45" t="s">
        <v>1</v>
      </c>
      <c r="D443" s="45"/>
      <c r="E443" s="47">
        <v>35972</v>
      </c>
      <c r="F443" s="30">
        <v>7</v>
      </c>
      <c r="G443" s="45" t="s">
        <v>4984</v>
      </c>
      <c r="H443" s="45" t="s">
        <v>3208</v>
      </c>
      <c r="I443" s="45" t="s">
        <v>723</v>
      </c>
      <c r="J443" s="45" t="s">
        <v>197</v>
      </c>
      <c r="K443" s="127" t="str">
        <f>"00027453"</f>
        <v>00027453</v>
      </c>
    </row>
    <row r="444" spans="1:11" ht="45" customHeight="1">
      <c r="A444" s="30">
        <v>105</v>
      </c>
      <c r="B444" s="45" t="s">
        <v>3207</v>
      </c>
      <c r="C444" s="45" t="s">
        <v>1</v>
      </c>
      <c r="D444" s="45"/>
      <c r="E444" s="47">
        <v>32255</v>
      </c>
      <c r="F444" s="30">
        <v>7</v>
      </c>
      <c r="G444" s="49" t="s">
        <v>4985</v>
      </c>
      <c r="H444" s="45" t="s">
        <v>1875</v>
      </c>
      <c r="I444" s="45" t="s">
        <v>3043</v>
      </c>
      <c r="J444" s="45" t="s">
        <v>9</v>
      </c>
      <c r="K444" s="127" t="str">
        <f>"00029821"</f>
        <v>00029821</v>
      </c>
    </row>
    <row r="445" spans="1:11" ht="45" customHeight="1">
      <c r="A445" s="30">
        <v>105</v>
      </c>
      <c r="B445" s="45" t="s">
        <v>35</v>
      </c>
      <c r="C445" s="45" t="s">
        <v>1</v>
      </c>
      <c r="D445" s="45"/>
      <c r="E445" s="47">
        <v>145999</v>
      </c>
      <c r="F445" s="30">
        <v>7</v>
      </c>
      <c r="G445" s="45" t="s">
        <v>4986</v>
      </c>
      <c r="H445" s="45" t="s">
        <v>3205</v>
      </c>
      <c r="I445" s="45" t="s">
        <v>42</v>
      </c>
      <c r="J445" s="45" t="s">
        <v>138</v>
      </c>
      <c r="K445" s="127" t="str">
        <f>"00030937"</f>
        <v>00030937</v>
      </c>
    </row>
    <row r="446" spans="1:11" ht="45" customHeight="1">
      <c r="A446" s="30">
        <v>105</v>
      </c>
      <c r="B446" s="45" t="s">
        <v>606</v>
      </c>
      <c r="C446" s="45" t="s">
        <v>1</v>
      </c>
      <c r="D446" s="45"/>
      <c r="E446" s="47">
        <v>61271</v>
      </c>
      <c r="F446" s="30">
        <v>7</v>
      </c>
      <c r="G446" s="45" t="s">
        <v>4987</v>
      </c>
      <c r="H446" s="45" t="s">
        <v>3206</v>
      </c>
      <c r="I446" s="45" t="s">
        <v>723</v>
      </c>
      <c r="J446" s="45" t="s">
        <v>197</v>
      </c>
      <c r="K446" s="127" t="str">
        <f>"00031101"</f>
        <v>00031101</v>
      </c>
    </row>
    <row r="447" spans="1:11" ht="45" customHeight="1">
      <c r="A447" s="30">
        <v>105</v>
      </c>
      <c r="B447" s="45" t="s">
        <v>4980</v>
      </c>
      <c r="C447" s="45" t="s">
        <v>1</v>
      </c>
      <c r="D447" s="45"/>
      <c r="E447" s="47">
        <v>105441</v>
      </c>
      <c r="F447" s="30">
        <v>7</v>
      </c>
      <c r="G447" s="49" t="s">
        <v>4988</v>
      </c>
      <c r="H447" s="45" t="s">
        <v>4981</v>
      </c>
      <c r="I447" s="45" t="s">
        <v>196</v>
      </c>
      <c r="J447" s="45" t="s">
        <v>4982</v>
      </c>
      <c r="K447" s="127" t="str">
        <f>"00031861"</f>
        <v>00031861</v>
      </c>
    </row>
    <row r="448" spans="1:11" ht="45" customHeight="1">
      <c r="A448" s="30"/>
      <c r="B448" s="58" t="s">
        <v>36</v>
      </c>
      <c r="C448" s="45"/>
      <c r="D448" s="45"/>
      <c r="E448" s="47">
        <f>SUM(E442:E447)</f>
        <v>418213</v>
      </c>
      <c r="F448" s="30"/>
      <c r="G448" s="45"/>
      <c r="H448" s="45"/>
      <c r="I448" s="45"/>
      <c r="J448" s="45"/>
      <c r="K448" s="98"/>
    </row>
    <row r="449" spans="1:11" ht="45" customHeight="1">
      <c r="A449" s="30"/>
      <c r="B449" s="56" t="s">
        <v>30</v>
      </c>
      <c r="C449" s="45"/>
      <c r="D449" s="45"/>
      <c r="E449" s="45"/>
      <c r="F449" s="30"/>
      <c r="G449" s="45"/>
      <c r="H449" s="45"/>
      <c r="I449" s="45"/>
      <c r="J449" s="45"/>
      <c r="K449" s="45"/>
    </row>
    <row r="450" spans="1:11" ht="45" customHeight="1">
      <c r="A450" s="30">
        <v>105</v>
      </c>
      <c r="B450" s="45" t="s">
        <v>2023</v>
      </c>
      <c r="C450" s="45" t="s">
        <v>1</v>
      </c>
      <c r="D450" s="45"/>
      <c r="E450" s="47">
        <v>48257</v>
      </c>
      <c r="F450" s="30">
        <v>7</v>
      </c>
      <c r="G450" s="45" t="s">
        <v>5353</v>
      </c>
      <c r="H450" s="45" t="s">
        <v>2694</v>
      </c>
      <c r="I450" s="45" t="s">
        <v>40</v>
      </c>
      <c r="J450" s="45" t="s">
        <v>125</v>
      </c>
      <c r="K450" s="128" t="s">
        <v>5355</v>
      </c>
    </row>
    <row r="451" spans="1:11" ht="45" customHeight="1">
      <c r="A451" s="30">
        <v>105</v>
      </c>
      <c r="B451" s="45" t="s">
        <v>2020</v>
      </c>
      <c r="C451" s="45" t="s">
        <v>1</v>
      </c>
      <c r="D451" s="45"/>
      <c r="E451" s="47">
        <v>20000</v>
      </c>
      <c r="F451" s="30">
        <v>7</v>
      </c>
      <c r="G451" s="45" t="s">
        <v>5354</v>
      </c>
      <c r="H451" s="45" t="s">
        <v>3209</v>
      </c>
      <c r="I451" s="45" t="s">
        <v>40</v>
      </c>
      <c r="J451" s="45" t="s">
        <v>125</v>
      </c>
      <c r="K451" s="128" t="s">
        <v>5356</v>
      </c>
    </row>
    <row r="452" spans="1:11" ht="45" customHeight="1">
      <c r="A452" s="30"/>
      <c r="B452" s="58" t="s">
        <v>37</v>
      </c>
      <c r="C452" s="45"/>
      <c r="D452" s="45"/>
      <c r="E452" s="47">
        <f>SUM(E450:E451)</f>
        <v>68257</v>
      </c>
      <c r="F452" s="30"/>
      <c r="G452" s="45"/>
      <c r="H452" s="45"/>
      <c r="I452" s="45"/>
      <c r="J452" s="45"/>
      <c r="K452" s="143"/>
    </row>
    <row r="453" spans="1:11" ht="45" customHeight="1">
      <c r="A453" s="159" t="s">
        <v>87</v>
      </c>
      <c r="B453" s="159"/>
      <c r="C453" s="159"/>
      <c r="D453" s="113">
        <f>SUM(D6:D452)</f>
        <v>11476000</v>
      </c>
      <c r="E453" s="113">
        <v>14935457</v>
      </c>
      <c r="F453" s="37"/>
      <c r="G453" s="114"/>
      <c r="H453" s="37"/>
      <c r="I453" s="114"/>
      <c r="J453" s="114"/>
      <c r="K453" s="98"/>
    </row>
    <row r="455" spans="2:11" s="38" customFormat="1" ht="45" customHeight="1">
      <c r="B455" s="15"/>
      <c r="C455" s="15"/>
      <c r="D455" s="15"/>
      <c r="E455" s="15"/>
      <c r="F455" s="15"/>
      <c r="G455" s="15"/>
      <c r="H455" s="15"/>
      <c r="I455" s="161" t="s">
        <v>6144</v>
      </c>
      <c r="J455" s="15"/>
      <c r="K455" s="15"/>
    </row>
    <row r="657" spans="2:11" s="38" customFormat="1" ht="45" customHeight="1">
      <c r="B657" s="15"/>
      <c r="C657" s="15"/>
      <c r="D657" s="15"/>
      <c r="E657" s="15">
        <f>SUM(E557:E656)</f>
        <v>0</v>
      </c>
      <c r="G657" s="15"/>
      <c r="H657" s="15"/>
      <c r="I657" s="15"/>
      <c r="J657" s="15"/>
      <c r="K657" s="15"/>
    </row>
  </sheetData>
  <sheetProtection/>
  <mergeCells count="13">
    <mergeCell ref="A453:C453"/>
    <mergeCell ref="K4:K5"/>
    <mergeCell ref="A6:B6"/>
    <mergeCell ref="A1:K1"/>
    <mergeCell ref="A2:K2"/>
    <mergeCell ref="A3:J3"/>
    <mergeCell ref="A4:E4"/>
    <mergeCell ref="F4:F5"/>
    <mergeCell ref="G4:G5"/>
    <mergeCell ref="H4:H5"/>
  </mergeCells>
  <printOptions horizontalCentered="1"/>
  <pageMargins left="0" right="0" top="0.2755905511811024" bottom="0.5905511811023623" header="0.15748031496062992" footer="0.2362204724409449"/>
  <pageSetup firstPageNumber="136" useFirstPageNumber="1" horizontalDpi="600" verticalDpi="600" orientation="landscape" paperSize="9" scale="70" r:id="rId1"/>
  <headerFooter>
    <oddFooter xml:space="preserve">&amp;C&amp;P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2017-03-24T07:43:27Z</cp:lastPrinted>
  <dcterms:created xsi:type="dcterms:W3CDTF">2015-03-10T02:27:51Z</dcterms:created>
  <dcterms:modified xsi:type="dcterms:W3CDTF">2017-03-24T07:43:35Z</dcterms:modified>
  <cp:category/>
  <cp:version/>
  <cp:contentType/>
  <cp:contentStatus/>
</cp:coreProperties>
</file>