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紀暘1090219~\5.因公_基金\108決算\"/>
    </mc:Choice>
  </mc:AlternateContent>
  <bookViews>
    <workbookView xWindow="0" yWindow="0" windowWidth="28800" windowHeight="12255"/>
  </bookViews>
  <sheets>
    <sheet name="108國外旅費決算表" sheetId="14" r:id="rId1"/>
    <sheet name="108大陸旅費決算表" sheetId="15" r:id="rId2"/>
  </sheets>
  <definedNames>
    <definedName name="_xlnm._FilterDatabase" localSheetId="1" hidden="1">'108大陸旅費決算表'!$A$2:$L$2</definedName>
    <definedName name="_xlnm.Print_Area" localSheetId="1">'108大陸旅費決算表'!$A$1:$K$492</definedName>
    <definedName name="_xlnm.Print_Area" localSheetId="0">'108國外旅費決算表'!$A$1:$K$2422</definedName>
    <definedName name="_xlnm.Print_Titles" localSheetId="0">'108國外旅費決算表'!$1:$2</definedName>
  </definedNames>
  <calcPr calcId="162913"/>
</workbook>
</file>

<file path=xl/calcChain.xml><?xml version="1.0" encoding="utf-8"?>
<calcChain xmlns="http://schemas.openxmlformats.org/spreadsheetml/2006/main">
  <c r="K2127" i="14" l="1"/>
  <c r="E210" i="15" l="1"/>
  <c r="E281" i="15" l="1"/>
  <c r="E285" i="15"/>
  <c r="E278" i="15"/>
  <c r="E271" i="15"/>
  <c r="E262" i="15"/>
  <c r="E258" i="15"/>
  <c r="E248" i="15"/>
  <c r="E241" i="15"/>
  <c r="E230" i="15"/>
  <c r="E220" i="15"/>
  <c r="E202" i="15"/>
  <c r="E197" i="15"/>
  <c r="E184" i="15"/>
  <c r="E154" i="15"/>
  <c r="E147" i="15"/>
  <c r="E133" i="15"/>
  <c r="E126" i="15"/>
  <c r="E116" i="15"/>
  <c r="E111" i="15"/>
  <c r="E91" i="15"/>
  <c r="E57" i="15"/>
  <c r="E50" i="15"/>
  <c r="E45" i="15"/>
  <c r="E13" i="15"/>
  <c r="E491" i="15"/>
  <c r="E487" i="15"/>
  <c r="E482" i="15"/>
  <c r="E459" i="15"/>
  <c r="E449" i="15"/>
  <c r="E443" i="15"/>
  <c r="E433" i="15"/>
  <c r="E428" i="15"/>
  <c r="E421" i="15"/>
  <c r="E413" i="15"/>
  <c r="E404" i="15"/>
  <c r="E392" i="15"/>
  <c r="E375" i="15"/>
  <c r="E366" i="15"/>
  <c r="E341" i="15"/>
  <c r="E335" i="15"/>
  <c r="E323" i="15"/>
  <c r="K305" i="15"/>
  <c r="E302" i="15"/>
  <c r="E289" i="15"/>
  <c r="E191" i="15"/>
  <c r="E98" i="15"/>
  <c r="E67" i="15"/>
  <c r="K2086" i="14" l="1"/>
  <c r="E2421" i="14" l="1"/>
  <c r="K2406" i="14"/>
  <c r="E1368" i="14"/>
  <c r="K374" i="14" l="1"/>
  <c r="E1478" i="14" l="1"/>
  <c r="E1489" i="14" l="1"/>
  <c r="K1488" i="14"/>
  <c r="K1487" i="14"/>
  <c r="K1486" i="14"/>
  <c r="K1485" i="14"/>
  <c r="K1484" i="14"/>
  <c r="K1483" i="14"/>
  <c r="K1482" i="14"/>
  <c r="K1477" i="14" l="1"/>
  <c r="K1476" i="14"/>
  <c r="K2381" i="14"/>
  <c r="K2377" i="14"/>
  <c r="K2373" i="14"/>
  <c r="K2356" i="14"/>
  <c r="K2355" i="14"/>
  <c r="K2354" i="14"/>
  <c r="K2353" i="14"/>
  <c r="K2352" i="14"/>
  <c r="K2351" i="14"/>
  <c r="K2350" i="14"/>
  <c r="K2349" i="14"/>
  <c r="K2348" i="14"/>
  <c r="K2347" i="14"/>
  <c r="K2346" i="14"/>
  <c r="K2345" i="14"/>
  <c r="K2344" i="14"/>
  <c r="K2343" i="14"/>
  <c r="K2342" i="14"/>
  <c r="K2341" i="14"/>
  <c r="K2338" i="14"/>
  <c r="K2336" i="14"/>
  <c r="K2335" i="14"/>
  <c r="K2334" i="14"/>
  <c r="K2333" i="14"/>
  <c r="K2332" i="14"/>
  <c r="K2331" i="14"/>
  <c r="K2330" i="14"/>
  <c r="K2329" i="14"/>
  <c r="K2328" i="14"/>
  <c r="K2327" i="14"/>
  <c r="K2326" i="14"/>
  <c r="K2323" i="14"/>
  <c r="K2322" i="14"/>
  <c r="K2321" i="14"/>
  <c r="K2319" i="14"/>
  <c r="K2317" i="14"/>
  <c r="K2311" i="14"/>
  <c r="K2308" i="14"/>
  <c r="K2305" i="14"/>
  <c r="K2304" i="14"/>
  <c r="K2303" i="14"/>
  <c r="K2302" i="14"/>
  <c r="K2301" i="14"/>
  <c r="K2299" i="14"/>
  <c r="K2297" i="14"/>
  <c r="K2295" i="14"/>
  <c r="K2294" i="14"/>
  <c r="K2293" i="14"/>
  <c r="K2291" i="14"/>
  <c r="K2290" i="14"/>
  <c r="K2289" i="14"/>
  <c r="K2288" i="14"/>
  <c r="K2287" i="14"/>
  <c r="K2285" i="14"/>
  <c r="K2284" i="14"/>
  <c r="K2283" i="14"/>
  <c r="K2282" i="14"/>
  <c r="K2280" i="14"/>
  <c r="K2279" i="14"/>
  <c r="K2278" i="14"/>
  <c r="K2277" i="14"/>
  <c r="K2276" i="14"/>
  <c r="K2275" i="14"/>
  <c r="K2274" i="14"/>
  <c r="K2273" i="14"/>
  <c r="K2272" i="14"/>
  <c r="K2271" i="14"/>
  <c r="K2270" i="14"/>
  <c r="K2269" i="14"/>
  <c r="K2268" i="14"/>
  <c r="K2267" i="14"/>
  <c r="K2266" i="14"/>
  <c r="K2265" i="14"/>
  <c r="K2264" i="14"/>
  <c r="K2263" i="14"/>
  <c r="K2262" i="14"/>
  <c r="K2257" i="14"/>
  <c r="K2256" i="14"/>
  <c r="K2254" i="14"/>
  <c r="K2252" i="14"/>
  <c r="K2250" i="14"/>
  <c r="K2248" i="14"/>
  <c r="K2247" i="14"/>
  <c r="K2246" i="14"/>
  <c r="K2245" i="14"/>
  <c r="K2244" i="14"/>
  <c r="K2243" i="14"/>
  <c r="K2242" i="14"/>
  <c r="K2241" i="14"/>
  <c r="K2240" i="14"/>
  <c r="K2239" i="14"/>
  <c r="K2238" i="14"/>
  <c r="K2237" i="14"/>
  <c r="K2236" i="14"/>
  <c r="K2235" i="14"/>
  <c r="K2234" i="14"/>
  <c r="K2232" i="14"/>
  <c r="K2231" i="14"/>
  <c r="K2230" i="14"/>
  <c r="K2229" i="14"/>
  <c r="K2228" i="14"/>
  <c r="K2227" i="14"/>
  <c r="K2226" i="14"/>
  <c r="K2225" i="14"/>
  <c r="K2224" i="14"/>
  <c r="K2223" i="14"/>
  <c r="K2222" i="14"/>
  <c r="K2221" i="14"/>
  <c r="K2220" i="14"/>
  <c r="K2219" i="14"/>
  <c r="K2208" i="14"/>
  <c r="K2207" i="14"/>
  <c r="K2206" i="14"/>
  <c r="K2205" i="14"/>
  <c r="K2204" i="14"/>
  <c r="K2203" i="14"/>
  <c r="K2202" i="14"/>
  <c r="K2201" i="14"/>
  <c r="K2200" i="14"/>
  <c r="K2199" i="14"/>
  <c r="K2198" i="14"/>
  <c r="K2197" i="14"/>
  <c r="K2196" i="14"/>
  <c r="K2195" i="14"/>
  <c r="K2194" i="14"/>
  <c r="K2193" i="14"/>
  <c r="K2192" i="14"/>
  <c r="K2191" i="14"/>
  <c r="K2190" i="14"/>
  <c r="K2189" i="14"/>
  <c r="K2188" i="14"/>
  <c r="K2187" i="14"/>
  <c r="K2186" i="14"/>
  <c r="K2185" i="14"/>
  <c r="K2184" i="14"/>
  <c r="K2183" i="14"/>
  <c r="K2182" i="14"/>
  <c r="K2181" i="14"/>
  <c r="K2180" i="14"/>
  <c r="K2179" i="14"/>
  <c r="K2178" i="14"/>
  <c r="K2177" i="14"/>
  <c r="K2176" i="14"/>
  <c r="K2173" i="14"/>
  <c r="K2172" i="14"/>
  <c r="K2170" i="14"/>
  <c r="K2169" i="14"/>
  <c r="K2168" i="14"/>
  <c r="K2166" i="14"/>
  <c r="K2165" i="14"/>
  <c r="K2164" i="14"/>
  <c r="K2163" i="14"/>
  <c r="K2162" i="14"/>
  <c r="K2159" i="14"/>
  <c r="K2158" i="14"/>
  <c r="K2156" i="14"/>
  <c r="K2154" i="14"/>
  <c r="K2153" i="14"/>
  <c r="K2152" i="14"/>
  <c r="K2151" i="14"/>
  <c r="K2150" i="14"/>
  <c r="K2149" i="14"/>
  <c r="K2146" i="14"/>
  <c r="K2145" i="14"/>
  <c r="K2144" i="14"/>
  <c r="K2143" i="14"/>
  <c r="K2142" i="14"/>
  <c r="K2141" i="14"/>
  <c r="K2140" i="14"/>
  <c r="K2139" i="14"/>
  <c r="K2138" i="14"/>
  <c r="K2137" i="14"/>
  <c r="K2136" i="14"/>
  <c r="K2135" i="14"/>
  <c r="K2134" i="14"/>
  <c r="K2129" i="14"/>
  <c r="K2124" i="14"/>
  <c r="K2119" i="14"/>
  <c r="K2118" i="14"/>
  <c r="K2117" i="14"/>
  <c r="K2116" i="14"/>
  <c r="K2115" i="14"/>
  <c r="K2114" i="14"/>
  <c r="K2112" i="14"/>
  <c r="K2106" i="14"/>
  <c r="K2103" i="14"/>
  <c r="K2102" i="14"/>
  <c r="K2099" i="14"/>
  <c r="K2095" i="14"/>
  <c r="K2092" i="14"/>
  <c r="K2091" i="14"/>
  <c r="K2090" i="14"/>
  <c r="K2089" i="14"/>
  <c r="K2088" i="14"/>
  <c r="K2087" i="14"/>
  <c r="K2085" i="14"/>
  <c r="K2084" i="14"/>
  <c r="K2083" i="14"/>
  <c r="K2082" i="14"/>
  <c r="K2078" i="14"/>
  <c r="K2077" i="14"/>
  <c r="K2076" i="14"/>
  <c r="K2075" i="14"/>
  <c r="K2074" i="14"/>
  <c r="K2073" i="14"/>
  <c r="K2072" i="14"/>
  <c r="K2071" i="14"/>
  <c r="K2070" i="14"/>
  <c r="K2066" i="14"/>
  <c r="K2065" i="14"/>
  <c r="K2063" i="14"/>
  <c r="K2062" i="14"/>
  <c r="K2061" i="14"/>
  <c r="K2060" i="14"/>
  <c r="K2059" i="14"/>
  <c r="K2058" i="14"/>
  <c r="K2057" i="14"/>
  <c r="K2056" i="14"/>
  <c r="K2055" i="14"/>
  <c r="K2054" i="14"/>
  <c r="K2053" i="14"/>
  <c r="K2051" i="14"/>
  <c r="K2050" i="14"/>
  <c r="K2048" i="14"/>
  <c r="K2047" i="14"/>
  <c r="K2046" i="14"/>
  <c r="K2045" i="14"/>
  <c r="K2044" i="14"/>
  <c r="K2043" i="14"/>
  <c r="K2042" i="14"/>
  <c r="K2041" i="14"/>
  <c r="K2040" i="14"/>
  <c r="K2037" i="14"/>
  <c r="K2036" i="14"/>
  <c r="K2035" i="14"/>
  <c r="K2034" i="14"/>
  <c r="K2033" i="14"/>
  <c r="K2032" i="14"/>
  <c r="K2031" i="14"/>
  <c r="K2030" i="14"/>
  <c r="K2029" i="14"/>
  <c r="K2028" i="14"/>
  <c r="K2027" i="14"/>
  <c r="K2026" i="14"/>
  <c r="K2025" i="14"/>
  <c r="K2024" i="14"/>
  <c r="K2023" i="14"/>
  <c r="K2022" i="14"/>
  <c r="K2021" i="14"/>
  <c r="K2020" i="14"/>
  <c r="K2019" i="14"/>
  <c r="K2018" i="14"/>
  <c r="K2017" i="14"/>
  <c r="K2016" i="14"/>
  <c r="K2015" i="14"/>
  <c r="K2014" i="14"/>
  <c r="K2013" i="14"/>
  <c r="K2012" i="14"/>
  <c r="K2011" i="14"/>
  <c r="K2010" i="14"/>
  <c r="K2009" i="14"/>
  <c r="K2008" i="14"/>
  <c r="K2007" i="14"/>
  <c r="K2006" i="14"/>
  <c r="K2005" i="14"/>
  <c r="K2004" i="14"/>
  <c r="K2003" i="14"/>
  <c r="K2002" i="14"/>
  <c r="K2001" i="14"/>
  <c r="K2000" i="14"/>
  <c r="K1999" i="14"/>
  <c r="K1998" i="14"/>
  <c r="K1997" i="14"/>
  <c r="K1996" i="14"/>
  <c r="K1995" i="14"/>
  <c r="K1994" i="14"/>
  <c r="K1993" i="14"/>
  <c r="K1992" i="14"/>
  <c r="K1991" i="14"/>
  <c r="K1990" i="14"/>
  <c r="K1989" i="14"/>
  <c r="K1988" i="14"/>
  <c r="K1987" i="14"/>
  <c r="K1986" i="14"/>
  <c r="K1985" i="14"/>
  <c r="K1984" i="14"/>
  <c r="K1983" i="14"/>
  <c r="K1982" i="14"/>
  <c r="K1981" i="14"/>
  <c r="K1980" i="14"/>
  <c r="K1979" i="14"/>
  <c r="K1978" i="14"/>
  <c r="K1977" i="14"/>
  <c r="K1976" i="14"/>
  <c r="K1975" i="14"/>
  <c r="K1974" i="14"/>
  <c r="K1973" i="14"/>
  <c r="K1972" i="14"/>
  <c r="K1971" i="14"/>
  <c r="K1970" i="14"/>
  <c r="K1969" i="14"/>
  <c r="K1968" i="14"/>
  <c r="K1967" i="14"/>
  <c r="K1966" i="14"/>
  <c r="K1965" i="14"/>
  <c r="K1964" i="14"/>
  <c r="K1963" i="14"/>
  <c r="K1962" i="14"/>
  <c r="K1961" i="14"/>
  <c r="K1960" i="14"/>
  <c r="K1959" i="14"/>
  <c r="K1958" i="14"/>
  <c r="K1957" i="14"/>
  <c r="K1956" i="14"/>
  <c r="K1955" i="14"/>
  <c r="K1954" i="14"/>
  <c r="K1953" i="14"/>
  <c r="K1952" i="14"/>
  <c r="K1951" i="14"/>
  <c r="K1950" i="14"/>
  <c r="K1949" i="14"/>
  <c r="K1948" i="14"/>
  <c r="K1947" i="14"/>
  <c r="K1946" i="14"/>
  <c r="K1945" i="14"/>
  <c r="K1944" i="14"/>
  <c r="K1943" i="14"/>
  <c r="K1942" i="14"/>
  <c r="K1941" i="14"/>
  <c r="K1940" i="14"/>
  <c r="K1939" i="14"/>
  <c r="K1938" i="14"/>
  <c r="K1937" i="14"/>
  <c r="K1936" i="14"/>
  <c r="K1935" i="14"/>
  <c r="K1934" i="14"/>
  <c r="K1933" i="14"/>
  <c r="K1932" i="14"/>
  <c r="K1931" i="14"/>
  <c r="K1930" i="14"/>
  <c r="K1929" i="14"/>
  <c r="K1927" i="14"/>
  <c r="K1919" i="14"/>
  <c r="K1918" i="14"/>
  <c r="K1917" i="14"/>
  <c r="K1915" i="14"/>
  <c r="K1914" i="14"/>
  <c r="K1912" i="14"/>
  <c r="K1911" i="14"/>
  <c r="K1910" i="14"/>
  <c r="K1906" i="14"/>
  <c r="K1905" i="14"/>
  <c r="K1903" i="14"/>
  <c r="K1901" i="14"/>
  <c r="K1899" i="14"/>
  <c r="K1898" i="14"/>
  <c r="K1897" i="14"/>
  <c r="K1896" i="14"/>
  <c r="K1895" i="14"/>
  <c r="K1894" i="14"/>
  <c r="K1892" i="14"/>
  <c r="K1891" i="14"/>
  <c r="K1890" i="14"/>
  <c r="K1889" i="14"/>
  <c r="K1888" i="14"/>
  <c r="K1887" i="14"/>
  <c r="K1886" i="14"/>
  <c r="K1885" i="14"/>
  <c r="K1884" i="14"/>
  <c r="K1883" i="14"/>
  <c r="K1882" i="14"/>
  <c r="K1881" i="14"/>
  <c r="K1880" i="14"/>
  <c r="K1879" i="14"/>
  <c r="K1878" i="14"/>
  <c r="K1877" i="14"/>
  <c r="K1876" i="14"/>
  <c r="K1875" i="14"/>
  <c r="K1874" i="14"/>
  <c r="K1872" i="14"/>
  <c r="K1868" i="14"/>
  <c r="K1867" i="14"/>
  <c r="K1865" i="14"/>
  <c r="K1864" i="14"/>
  <c r="K1863" i="14"/>
  <c r="K1862" i="14"/>
  <c r="K1861" i="14"/>
  <c r="K1860" i="14"/>
  <c r="K1859" i="14"/>
  <c r="K1858" i="14"/>
  <c r="K1857" i="14"/>
  <c r="K1856" i="14"/>
  <c r="K1855" i="14"/>
  <c r="K1854" i="14"/>
  <c r="K1853" i="14"/>
  <c r="K1852" i="14"/>
  <c r="K1851" i="14"/>
  <c r="K1850" i="14"/>
  <c r="K1849" i="14"/>
  <c r="K1848" i="14"/>
  <c r="K1847" i="14"/>
  <c r="K1846" i="14"/>
  <c r="K1845" i="14"/>
  <c r="K1844" i="14"/>
  <c r="K1843" i="14"/>
  <c r="K1842" i="14"/>
  <c r="K1841" i="14"/>
  <c r="K1840" i="14"/>
  <c r="K1839" i="14"/>
  <c r="K1838" i="14"/>
  <c r="K1837" i="14"/>
  <c r="K1836" i="14"/>
  <c r="K1835" i="14"/>
  <c r="K1834" i="14"/>
  <c r="K1833" i="14"/>
  <c r="K1832" i="14"/>
  <c r="K1831" i="14"/>
  <c r="K1830" i="14"/>
  <c r="K1829" i="14"/>
  <c r="K1828" i="14"/>
  <c r="K1827" i="14"/>
  <c r="K1826" i="14"/>
  <c r="K1825" i="14"/>
  <c r="K1824" i="14"/>
  <c r="K1823" i="14"/>
  <c r="K1822" i="14"/>
  <c r="K1821" i="14"/>
  <c r="K1820" i="14"/>
  <c r="K1819" i="14"/>
  <c r="K1818" i="14"/>
  <c r="K1817" i="14"/>
  <c r="K1816" i="14"/>
  <c r="K1815" i="14"/>
  <c r="K1814" i="14"/>
  <c r="K1812" i="14"/>
  <c r="K1811" i="14"/>
  <c r="K1810" i="14"/>
  <c r="K1809" i="14"/>
  <c r="K1808" i="14"/>
  <c r="K1807" i="14"/>
  <c r="K1806" i="14"/>
  <c r="K1805" i="14"/>
  <c r="K1804" i="14"/>
  <c r="K1803" i="14"/>
  <c r="K1802" i="14"/>
  <c r="K1801" i="14"/>
  <c r="K1800" i="14"/>
  <c r="K1799" i="14"/>
  <c r="K1798" i="14"/>
  <c r="K1797" i="14"/>
  <c r="K1796" i="14"/>
  <c r="K1795" i="14"/>
  <c r="K1794" i="14"/>
  <c r="K1793" i="14"/>
  <c r="K1792" i="14"/>
  <c r="K1791" i="14"/>
  <c r="K1790" i="14"/>
  <c r="K1789" i="14"/>
  <c r="K1788" i="14"/>
  <c r="K1787" i="14"/>
  <c r="K1786" i="14"/>
  <c r="K1785" i="14"/>
  <c r="K1784" i="14"/>
  <c r="K1783" i="14"/>
  <c r="K1782" i="14"/>
  <c r="K1781" i="14"/>
  <c r="K1780" i="14"/>
  <c r="K1779" i="14"/>
  <c r="K1778" i="14"/>
  <c r="K1777" i="14"/>
  <c r="K1776" i="14"/>
  <c r="K1775" i="14"/>
  <c r="K1774" i="14"/>
  <c r="K1773" i="14"/>
  <c r="K1772" i="14"/>
  <c r="K1771" i="14"/>
  <c r="K1770" i="14"/>
  <c r="K1769" i="14"/>
  <c r="K1768" i="14"/>
  <c r="K1767" i="14"/>
  <c r="K1766" i="14"/>
  <c r="K1765" i="14"/>
  <c r="K1764" i="14"/>
  <c r="K1763" i="14"/>
  <c r="K1762" i="14"/>
  <c r="K1761" i="14"/>
  <c r="K1760" i="14"/>
  <c r="K1759" i="14"/>
  <c r="K1758" i="14"/>
  <c r="K1757" i="14"/>
  <c r="K1756" i="14"/>
  <c r="K1755" i="14"/>
  <c r="K1754" i="14"/>
  <c r="K1753" i="14"/>
  <c r="K1752" i="14"/>
  <c r="K1751" i="14"/>
  <c r="K1750" i="14"/>
  <c r="K1749" i="14"/>
  <c r="K1748" i="14"/>
  <c r="K1747" i="14"/>
  <c r="K1746" i="14"/>
  <c r="K1745" i="14"/>
  <c r="K1744" i="14"/>
  <c r="K1743" i="14"/>
  <c r="K1742" i="14"/>
  <c r="K1741" i="14"/>
  <c r="K1740" i="14"/>
  <c r="K1739" i="14"/>
  <c r="K1738" i="14"/>
  <c r="K1737" i="14"/>
  <c r="K1736" i="14"/>
  <c r="K1735" i="14"/>
  <c r="K1734" i="14"/>
  <c r="K1733" i="14"/>
  <c r="K1732" i="14"/>
  <c r="K1731" i="14"/>
  <c r="K1730" i="14"/>
  <c r="K1729" i="14"/>
  <c r="K1728" i="14"/>
  <c r="K1727" i="14"/>
  <c r="K1726" i="14"/>
  <c r="K1724" i="14"/>
  <c r="K1723" i="14"/>
  <c r="K1722" i="14"/>
  <c r="K1721" i="14"/>
  <c r="K1720" i="14"/>
  <c r="K1718" i="14"/>
  <c r="K1717" i="14"/>
  <c r="K1713" i="14"/>
  <c r="K1711" i="14"/>
  <c r="K1710" i="14"/>
  <c r="K1709" i="14"/>
  <c r="K1708" i="14"/>
  <c r="K1705" i="14"/>
  <c r="K1696" i="14"/>
  <c r="K1695" i="14"/>
  <c r="K1694" i="14"/>
  <c r="K1693" i="14"/>
  <c r="K1692" i="14"/>
  <c r="K1691" i="14"/>
  <c r="K1690" i="14"/>
  <c r="K1689" i="14"/>
  <c r="K1688" i="14"/>
  <c r="K1687" i="14"/>
  <c r="K1686" i="14"/>
  <c r="K1685" i="14"/>
  <c r="K1684" i="14"/>
  <c r="K1683" i="14"/>
  <c r="K1682" i="14"/>
  <c r="K1681" i="14"/>
  <c r="E2413" i="14"/>
  <c r="K1679" i="14"/>
  <c r="K1675" i="14"/>
  <c r="K1674" i="14"/>
  <c r="K1673" i="14"/>
  <c r="K1672" i="14"/>
  <c r="K1671" i="14"/>
  <c r="K1669" i="14"/>
  <c r="K1662" i="14"/>
  <c r="K1661" i="14"/>
  <c r="K1658" i="14"/>
  <c r="K1657" i="14"/>
  <c r="K1656" i="14"/>
  <c r="K1655" i="14"/>
  <c r="K1654" i="14"/>
  <c r="K1653" i="14"/>
  <c r="K1652" i="14"/>
  <c r="K1651" i="14"/>
  <c r="K1650" i="14"/>
  <c r="K1649" i="14"/>
  <c r="K1648" i="14"/>
  <c r="K1647" i="14"/>
  <c r="K1646" i="14"/>
  <c r="K1644" i="14"/>
  <c r="K1643" i="14"/>
  <c r="K1642" i="14"/>
  <c r="K1641" i="14"/>
  <c r="K1640" i="14"/>
  <c r="K1639" i="14"/>
  <c r="K1638" i="14"/>
  <c r="K1637" i="14"/>
  <c r="K1634" i="14"/>
  <c r="K1633" i="14"/>
  <c r="K1632" i="14"/>
  <c r="K1631" i="14"/>
  <c r="K1630" i="14"/>
  <c r="K1628" i="14"/>
  <c r="K1627" i="14"/>
  <c r="K1626" i="14"/>
  <c r="K1625" i="14"/>
  <c r="K1624" i="14"/>
  <c r="K1623" i="14"/>
  <c r="K1622" i="14"/>
  <c r="K1621" i="14"/>
  <c r="K1620" i="14"/>
  <c r="K1619" i="14"/>
  <c r="K1618" i="14"/>
  <c r="K1617" i="14"/>
  <c r="K1616" i="14"/>
  <c r="K1615" i="14"/>
  <c r="K1614" i="14"/>
  <c r="K1613" i="14"/>
  <c r="K1612" i="14"/>
  <c r="K1607" i="14"/>
  <c r="K1601" i="14"/>
  <c r="K1571" i="14"/>
  <c r="K1557" i="14"/>
  <c r="K1551" i="14"/>
  <c r="K1544" i="14"/>
  <c r="K1543" i="14"/>
  <c r="K1527" i="14"/>
  <c r="K1519" i="14"/>
  <c r="K1518" i="14"/>
  <c r="K1517" i="14"/>
  <c r="K1516" i="14"/>
  <c r="K1514" i="14"/>
  <c r="K1513" i="14"/>
  <c r="K1512" i="14"/>
  <c r="K1511" i="14"/>
  <c r="K1510" i="14"/>
  <c r="K1509" i="14"/>
  <c r="K1508" i="14"/>
  <c r="K1507" i="14"/>
  <c r="K1506" i="14"/>
  <c r="K1505" i="14"/>
  <c r="K1504" i="14"/>
  <c r="K1503" i="14"/>
  <c r="K1502" i="14"/>
  <c r="K1501" i="14"/>
  <c r="K1500" i="14"/>
  <c r="K1499" i="14"/>
  <c r="K1498" i="14"/>
  <c r="K1497" i="14"/>
  <c r="K1496" i="14"/>
  <c r="K1495" i="14"/>
  <c r="K1494" i="14"/>
  <c r="K1493" i="14"/>
  <c r="K1492" i="14"/>
  <c r="K1491" i="14"/>
  <c r="K1150" i="14" l="1"/>
  <c r="K1146" i="14"/>
  <c r="K1145" i="14"/>
  <c r="K1144" i="14"/>
  <c r="K1143" i="14"/>
  <c r="K1142" i="14"/>
  <c r="K1141" i="14"/>
  <c r="K1140" i="14"/>
  <c r="K1139" i="14"/>
  <c r="K1138" i="14"/>
  <c r="K1137" i="14"/>
  <c r="K1135" i="14"/>
  <c r="K1134" i="14"/>
  <c r="K1132" i="14"/>
  <c r="K1131" i="14"/>
  <c r="K1130" i="14"/>
  <c r="K1129" i="14"/>
  <c r="K1128" i="14"/>
  <c r="K1127" i="14"/>
  <c r="K1125" i="14"/>
  <c r="K1124" i="14"/>
  <c r="K1123" i="14"/>
  <c r="K1122" i="14"/>
  <c r="K1121" i="14"/>
  <c r="K1120" i="14"/>
  <c r="K1119" i="14"/>
  <c r="K1118" i="14"/>
  <c r="K1117" i="14"/>
  <c r="K1116" i="14"/>
  <c r="K1115" i="14"/>
  <c r="K1355" i="14"/>
  <c r="K1354" i="14"/>
  <c r="K1353" i="14"/>
  <c r="K1352" i="14"/>
  <c r="K1351" i="14"/>
  <c r="K1350" i="14"/>
  <c r="K1349" i="14"/>
  <c r="K1348" i="14"/>
  <c r="K1347" i="14"/>
  <c r="K1346" i="14"/>
  <c r="K1345" i="14"/>
  <c r="K1344" i="14"/>
  <c r="K1343" i="14"/>
  <c r="K1342" i="14"/>
  <c r="K1341" i="14"/>
  <c r="K1340" i="14"/>
  <c r="K1339" i="14"/>
  <c r="K1338" i="14"/>
  <c r="K1336" i="14"/>
  <c r="K1330" i="14"/>
  <c r="K1323" i="14"/>
  <c r="K1322" i="14"/>
  <c r="K1321" i="14"/>
  <c r="K1314" i="14"/>
  <c r="K1312" i="14"/>
  <c r="K1310" i="14"/>
  <c r="K1309" i="14"/>
  <c r="K1301" i="14"/>
  <c r="K1299" i="14"/>
  <c r="K1293" i="14"/>
  <c r="K1292" i="14"/>
  <c r="K1475" i="14" l="1"/>
  <c r="K1474" i="14"/>
  <c r="K1473" i="14"/>
  <c r="K1472" i="14"/>
  <c r="K278" i="14" l="1"/>
  <c r="K277" i="14"/>
  <c r="K849" i="14" l="1"/>
  <c r="K200" i="15" l="1"/>
  <c r="K1386" i="14" l="1"/>
  <c r="K1385" i="14"/>
  <c r="K1384" i="14"/>
  <c r="K1383" i="14"/>
  <c r="K1382" i="14"/>
  <c r="K1381" i="14"/>
  <c r="K1380" i="14"/>
  <c r="K1379" i="14"/>
  <c r="K1378" i="14"/>
  <c r="K1377" i="14"/>
  <c r="K1376" i="14"/>
  <c r="K1375" i="14"/>
  <c r="K130" i="14"/>
  <c r="K129" i="14"/>
  <c r="K128" i="14"/>
  <c r="K127" i="14"/>
  <c r="K126" i="14"/>
  <c r="K125" i="14"/>
  <c r="K142" i="14"/>
  <c r="K141" i="14"/>
  <c r="K140" i="14"/>
  <c r="K139" i="14"/>
  <c r="K138" i="14"/>
  <c r="K137" i="14"/>
  <c r="K136" i="14"/>
  <c r="K124" i="14"/>
  <c r="K123" i="14"/>
  <c r="K117" i="14"/>
  <c r="K112" i="14"/>
  <c r="K107" i="14"/>
  <c r="K105" i="14"/>
  <c r="K104" i="14"/>
  <c r="K101" i="14"/>
  <c r="K100" i="14"/>
  <c r="K99" i="14"/>
  <c r="K98" i="14"/>
  <c r="K96" i="14"/>
  <c r="K92" i="14"/>
  <c r="K88" i="14"/>
  <c r="K87" i="14"/>
  <c r="K84" i="14"/>
  <c r="K74" i="14"/>
  <c r="K73" i="14"/>
  <c r="K66" i="14"/>
  <c r="K64" i="14"/>
  <c r="K54" i="14"/>
  <c r="K47" i="14"/>
  <c r="K46" i="14"/>
  <c r="K45" i="14"/>
  <c r="K346" i="15" l="1"/>
  <c r="K318" i="15"/>
  <c r="K333" i="15" l="1"/>
  <c r="K332" i="15"/>
  <c r="K331" i="15"/>
  <c r="K325" i="15"/>
  <c r="K277" i="15"/>
  <c r="K276" i="15"/>
  <c r="K275" i="15"/>
  <c r="K274" i="15"/>
  <c r="K273" i="15"/>
  <c r="K44" i="15"/>
  <c r="K43" i="15"/>
  <c r="K41" i="15"/>
  <c r="K15" i="15"/>
  <c r="K1367" i="14" l="1"/>
  <c r="K1366" i="14"/>
  <c r="K1365" i="14"/>
  <c r="K1364" i="14"/>
  <c r="K1363" i="14"/>
  <c r="K1362" i="14"/>
  <c r="K1361" i="14"/>
  <c r="K1360" i="14"/>
  <c r="K1359" i="14"/>
  <c r="K1358" i="14"/>
  <c r="K1357" i="14"/>
  <c r="K1356" i="14"/>
  <c r="K1291" i="14" l="1"/>
  <c r="K1290" i="14"/>
  <c r="K1289" i="14"/>
  <c r="K1288" i="14"/>
  <c r="K1287" i="14"/>
  <c r="K1286" i="14"/>
  <c r="K1285" i="14"/>
  <c r="K1284" i="14"/>
  <c r="K1283" i="14"/>
  <c r="K1282" i="14"/>
  <c r="K1281" i="14"/>
  <c r="K1280" i="14"/>
  <c r="K1279" i="14"/>
  <c r="K1278" i="14" l="1"/>
  <c r="K1277" i="14"/>
  <c r="K1276" i="14"/>
  <c r="K1275" i="14"/>
  <c r="K1274" i="14"/>
  <c r="K1273" i="14"/>
  <c r="K1272" i="14"/>
  <c r="K1271" i="14"/>
  <c r="K1270" i="14"/>
  <c r="K1269" i="14"/>
  <c r="K1268" i="14"/>
  <c r="K1267" i="14"/>
  <c r="K1266" i="14"/>
  <c r="K1265" i="14"/>
  <c r="K1264" i="14"/>
  <c r="K1263" i="14"/>
  <c r="K1262" i="14"/>
  <c r="K1261" i="14"/>
  <c r="K1260" i="14"/>
  <c r="K1259" i="14"/>
  <c r="K1258" i="14"/>
  <c r="K1257" i="14"/>
  <c r="K1256" i="14"/>
  <c r="K1255" i="14"/>
  <c r="K1254" i="14"/>
  <c r="K1253" i="14"/>
  <c r="K1252" i="14"/>
  <c r="K1471" i="14"/>
  <c r="K1470" i="14"/>
  <c r="K1469" i="14"/>
  <c r="K1468" i="14"/>
  <c r="K1467" i="14"/>
  <c r="K1466" i="14"/>
  <c r="K1465" i="14"/>
  <c r="K1464" i="14"/>
  <c r="K1251" i="14"/>
  <c r="K1250" i="14"/>
  <c r="K1248" i="14"/>
  <c r="K1247" i="14"/>
  <c r="K1246" i="14"/>
  <c r="K1245" i="14"/>
  <c r="K1244" i="14"/>
  <c r="K1242" i="14"/>
  <c r="K1241" i="14"/>
  <c r="K1240" i="14"/>
  <c r="K1239" i="14"/>
  <c r="K1238" i="14"/>
  <c r="K1237" i="14"/>
  <c r="K1229" i="14"/>
  <c r="K1227" i="14"/>
  <c r="K1223" i="14"/>
  <c r="K1219" i="14"/>
  <c r="K1217" i="14"/>
  <c r="K1215" i="14"/>
  <c r="K1212" i="14"/>
  <c r="K1211" i="14"/>
  <c r="K1210" i="14"/>
  <c r="K1209" i="14"/>
  <c r="K1208" i="14"/>
  <c r="K1207" i="14"/>
  <c r="K1206" i="14"/>
  <c r="K1205" i="14"/>
  <c r="K1204" i="14"/>
  <c r="K1203" i="14"/>
  <c r="K1202" i="14"/>
  <c r="K1201" i="14"/>
  <c r="K1200" i="14"/>
  <c r="K1199" i="14"/>
  <c r="K1198" i="14"/>
  <c r="K1197" i="14"/>
  <c r="K1196" i="14"/>
  <c r="K1195" i="14"/>
  <c r="K1194" i="14"/>
  <c r="K1193" i="14"/>
  <c r="K1192" i="14"/>
  <c r="K1191" i="14"/>
  <c r="K1190" i="14"/>
  <c r="K1189" i="14"/>
  <c r="K1188" i="14"/>
  <c r="K1187" i="14"/>
  <c r="K1186" i="14"/>
  <c r="K1185" i="14"/>
  <c r="K1184" i="14"/>
  <c r="K1183" i="14"/>
  <c r="K1182" i="14"/>
  <c r="K1181" i="14"/>
  <c r="K1180" i="14"/>
  <c r="K1179" i="14"/>
  <c r="K1178" i="14"/>
  <c r="K1177" i="14"/>
  <c r="K1463" i="14"/>
  <c r="K1462" i="14"/>
  <c r="K1461" i="14"/>
  <c r="K1460" i="14"/>
  <c r="K1156" i="14"/>
  <c r="K1155" i="14"/>
  <c r="K1154" i="14"/>
  <c r="K1153" i="14"/>
  <c r="K1176" i="14"/>
  <c r="K1174" i="14"/>
  <c r="K1172" i="14"/>
  <c r="K1171" i="14"/>
  <c r="K1168" i="14"/>
  <c r="K1167" i="14"/>
  <c r="K1166" i="14"/>
  <c r="K1165" i="14"/>
  <c r="K1164" i="14"/>
  <c r="K1163" i="14"/>
  <c r="K1162" i="14"/>
  <c r="K1161" i="14"/>
  <c r="K1160" i="14"/>
  <c r="K1159" i="14"/>
  <c r="K1158" i="14"/>
  <c r="K1157" i="14"/>
  <c r="K1459" i="14" l="1"/>
  <c r="K1455" i="14"/>
  <c r="K1454" i="14"/>
  <c r="K1453" i="14"/>
  <c r="K1452" i="14"/>
  <c r="K1451" i="14"/>
  <c r="K1114" i="14"/>
  <c r="K1113" i="14"/>
  <c r="K1112" i="14"/>
  <c r="K1111" i="14"/>
  <c r="K1110" i="14"/>
  <c r="K1109" i="14"/>
  <c r="K1108" i="14"/>
  <c r="K1106" i="14"/>
  <c r="K1105" i="14"/>
  <c r="K1103" i="14"/>
  <c r="K1102" i="14"/>
  <c r="K1101" i="14"/>
  <c r="K1100" i="14"/>
  <c r="K1099" i="14"/>
  <c r="K1095" i="14"/>
  <c r="K1092" i="14"/>
  <c r="K1090" i="14" l="1"/>
  <c r="K1089" i="14"/>
  <c r="K1088" i="14"/>
  <c r="K1087" i="14"/>
  <c r="K1086" i="14"/>
  <c r="K1085" i="14"/>
  <c r="K1084" i="14"/>
  <c r="K1083" i="14"/>
  <c r="K1082" i="14"/>
  <c r="K1080" i="14"/>
  <c r="K1079" i="14"/>
  <c r="K1077" i="14"/>
  <c r="K1076" i="14"/>
  <c r="K1074" i="14"/>
  <c r="K1073" i="14"/>
  <c r="K1072" i="14"/>
  <c r="K1071" i="14"/>
  <c r="K1070" i="14"/>
  <c r="K1069" i="14"/>
  <c r="K1068" i="14"/>
  <c r="K1067" i="14"/>
  <c r="K1066" i="14"/>
  <c r="K1065" i="14"/>
  <c r="K1064" i="14"/>
  <c r="K1063" i="14"/>
  <c r="K1062" i="14"/>
  <c r="K1061" i="14"/>
  <c r="K1060" i="14"/>
  <c r="K1059" i="14"/>
  <c r="K1058" i="14"/>
  <c r="K1057" i="14"/>
  <c r="K1056" i="14"/>
  <c r="K1055" i="14"/>
  <c r="K1054" i="14"/>
  <c r="K1053" i="14"/>
  <c r="K1052" i="14"/>
  <c r="K1051" i="14"/>
  <c r="K1050" i="14"/>
  <c r="K1049" i="14"/>
  <c r="K1048" i="14"/>
  <c r="K1047" i="14"/>
  <c r="K1046" i="14"/>
  <c r="K1045" i="14"/>
  <c r="K1044" i="14"/>
  <c r="K1043" i="14"/>
  <c r="K1042" i="14"/>
  <c r="K1041" i="14"/>
  <c r="K1040" i="14"/>
  <c r="K1039" i="14"/>
  <c r="K1038" i="14"/>
  <c r="K1037" i="14"/>
  <c r="K1450" i="14"/>
  <c r="K1449" i="14"/>
  <c r="K1015" i="14" l="1"/>
  <c r="K1014" i="14"/>
  <c r="K1013" i="14"/>
  <c r="K1012" i="14"/>
  <c r="K992" i="14"/>
  <c r="K991" i="14"/>
  <c r="K990" i="14"/>
  <c r="K989" i="14"/>
  <c r="K1011" i="14"/>
  <c r="K1010" i="14"/>
  <c r="K1009" i="14"/>
  <c r="K1008" i="14"/>
  <c r="K1007" i="14"/>
  <c r="K1006" i="14"/>
  <c r="K1005" i="14"/>
  <c r="K1004" i="14"/>
  <c r="K1003" i="14"/>
  <c r="K1002" i="14"/>
  <c r="K1001" i="14"/>
  <c r="K1000" i="14"/>
  <c r="K999" i="14"/>
  <c r="K997" i="14"/>
  <c r="K996" i="14"/>
  <c r="K995" i="14"/>
  <c r="K994" i="14"/>
  <c r="K993" i="14"/>
  <c r="K1447" i="14"/>
  <c r="K1446" i="14" l="1"/>
  <c r="K988" i="14"/>
  <c r="K986" i="14"/>
  <c r="K985" i="14"/>
  <c r="K982" i="14"/>
  <c r="K981" i="14"/>
  <c r="K980" i="14"/>
  <c r="K1445" i="14"/>
  <c r="K979" i="14"/>
  <c r="K978" i="14"/>
  <c r="K975" i="14"/>
  <c r="K973" i="14"/>
  <c r="K972" i="14"/>
  <c r="K971" i="14"/>
  <c r="K1444" i="14" l="1"/>
  <c r="K1443" i="14"/>
  <c r="K1442" i="14"/>
  <c r="K970" i="14"/>
  <c r="K969" i="14"/>
  <c r="K968" i="14"/>
  <c r="K967" i="14"/>
  <c r="K966" i="14"/>
  <c r="K965" i="14"/>
  <c r="K964" i="14"/>
  <c r="K963" i="14"/>
  <c r="K962" i="14"/>
  <c r="K961" i="14"/>
  <c r="K960" i="14"/>
  <c r="K957" i="14"/>
  <c r="K955" i="14"/>
  <c r="K954" i="14"/>
  <c r="K944" i="14"/>
  <c r="K939" i="14" l="1"/>
  <c r="K936" i="14"/>
  <c r="K935" i="14"/>
  <c r="K933" i="14"/>
  <c r="K932" i="14"/>
  <c r="K931" i="14" l="1"/>
  <c r="K928" i="14"/>
  <c r="K927" i="14"/>
  <c r="K925" i="14"/>
  <c r="K924" i="14"/>
  <c r="K921" i="14"/>
  <c r="K920" i="14"/>
  <c r="K2420" i="14" l="1"/>
  <c r="K2419" i="14"/>
  <c r="K2418" i="14"/>
  <c r="K2417" i="14"/>
  <c r="K2416" i="14"/>
  <c r="K2415" i="14"/>
  <c r="K918" i="14"/>
  <c r="K917" i="14"/>
  <c r="K916" i="14"/>
  <c r="K915" i="14"/>
  <c r="K914" i="14"/>
  <c r="K913" i="14"/>
  <c r="K912" i="14"/>
  <c r="K911" i="14"/>
  <c r="K910" i="14"/>
  <c r="K909" i="14"/>
  <c r="K905" i="14"/>
  <c r="K904" i="14"/>
  <c r="K903" i="14"/>
  <c r="K902" i="14"/>
  <c r="K901" i="14"/>
  <c r="K900" i="14"/>
  <c r="K899" i="14"/>
  <c r="K898" i="14"/>
  <c r="K897" i="14"/>
  <c r="K896" i="14"/>
  <c r="K895" i="14"/>
  <c r="K894" i="14"/>
  <c r="K893" i="14"/>
  <c r="K892" i="14"/>
  <c r="K891" i="14"/>
  <c r="K890" i="14"/>
  <c r="K889" i="14"/>
  <c r="K888" i="14"/>
  <c r="K887" i="14"/>
  <c r="K886" i="14"/>
  <c r="K885" i="14"/>
  <c r="K884" i="14"/>
  <c r="K883" i="14"/>
  <c r="K1441" i="14" l="1"/>
  <c r="K882" i="14"/>
  <c r="K881" i="14"/>
  <c r="K880" i="14"/>
  <c r="K879" i="14"/>
  <c r="K878" i="14"/>
  <c r="K877" i="14"/>
  <c r="K836" i="14"/>
  <c r="K834" i="14"/>
  <c r="K833" i="14"/>
  <c r="K832" i="14"/>
  <c r="K830" i="14"/>
  <c r="K829" i="14"/>
  <c r="K828" i="14"/>
  <c r="K827" i="14"/>
  <c r="K826" i="14"/>
  <c r="K876" i="14"/>
  <c r="K875" i="14"/>
  <c r="K874" i="14"/>
  <c r="K872" i="14"/>
  <c r="K871" i="14"/>
  <c r="K870" i="14"/>
  <c r="K868" i="14"/>
  <c r="K863" i="14"/>
  <c r="K862" i="14"/>
  <c r="K861" i="14"/>
  <c r="K860" i="14"/>
  <c r="K858" i="14"/>
  <c r="K857" i="14"/>
  <c r="K856" i="14"/>
  <c r="K854" i="14"/>
  <c r="K853" i="14"/>
  <c r="K852" i="14"/>
  <c r="K850" i="14"/>
  <c r="K848" i="14"/>
  <c r="K847" i="14"/>
  <c r="K845" i="14"/>
  <c r="K844" i="14"/>
  <c r="K843" i="14"/>
  <c r="K842" i="14"/>
  <c r="K841" i="14"/>
  <c r="K839" i="14"/>
  <c r="K838" i="14"/>
  <c r="K837" i="14"/>
  <c r="K835" i="14"/>
  <c r="K825" i="14"/>
  <c r="K824" i="14"/>
  <c r="K823" i="14"/>
  <c r="K822" i="14"/>
  <c r="K821" i="14"/>
  <c r="K820" i="14"/>
  <c r="K819" i="14"/>
  <c r="K818" i="14"/>
  <c r="K817" i="14"/>
  <c r="K816" i="14"/>
  <c r="K815" i="14"/>
  <c r="K814" i="14"/>
  <c r="K813" i="14"/>
  <c r="K812" i="14"/>
  <c r="K811" i="14"/>
  <c r="K810" i="14"/>
  <c r="K809" i="14"/>
  <c r="K808" i="14"/>
  <c r="K807" i="14"/>
  <c r="K806" i="14"/>
  <c r="K805" i="14"/>
  <c r="K804" i="14"/>
  <c r="K803" i="14"/>
  <c r="K802" i="14"/>
  <c r="K801" i="14"/>
  <c r="K800" i="14"/>
  <c r="K799" i="14"/>
  <c r="K798" i="14"/>
  <c r="K797" i="14"/>
  <c r="K796" i="14"/>
  <c r="K795" i="14"/>
  <c r="K794" i="14"/>
  <c r="K793" i="14"/>
  <c r="K792" i="14"/>
  <c r="K791" i="14"/>
  <c r="K790" i="14"/>
  <c r="K789" i="14"/>
  <c r="K788" i="14"/>
  <c r="K787" i="14"/>
  <c r="K786" i="14"/>
  <c r="K785" i="14"/>
  <c r="K784" i="14"/>
  <c r="K783" i="14"/>
  <c r="K782" i="14"/>
  <c r="K781" i="14"/>
  <c r="K780" i="14"/>
  <c r="K779" i="14"/>
  <c r="K778" i="14"/>
  <c r="K777" i="14"/>
  <c r="K776" i="14"/>
  <c r="K775" i="14"/>
  <c r="K774" i="14"/>
  <c r="K773" i="14"/>
  <c r="K772" i="14"/>
  <c r="K771" i="14"/>
  <c r="K770" i="14"/>
  <c r="K769" i="14"/>
  <c r="K768" i="14"/>
  <c r="K767" i="14"/>
  <c r="K766" i="14"/>
  <c r="K765" i="14"/>
  <c r="K764" i="14"/>
  <c r="K1440" i="14"/>
  <c r="K1439" i="14"/>
  <c r="K1438" i="14"/>
  <c r="K1437" i="14"/>
  <c r="K1436" i="14"/>
  <c r="K763" i="14"/>
  <c r="K762" i="14"/>
  <c r="K761" i="14"/>
  <c r="K760" i="14"/>
  <c r="K759" i="14"/>
  <c r="K758" i="14"/>
  <c r="K757" i="14"/>
  <c r="K756" i="14"/>
  <c r="K755" i="14"/>
  <c r="K754" i="14"/>
  <c r="K753" i="14"/>
  <c r="K752" i="14"/>
  <c r="K751" i="14"/>
  <c r="K750" i="14"/>
  <c r="K749" i="14"/>
  <c r="K748" i="14"/>
  <c r="K682" i="14"/>
  <c r="K681" i="14"/>
  <c r="K747" i="14"/>
  <c r="K746" i="14"/>
  <c r="K745" i="14"/>
  <c r="K744" i="14"/>
  <c r="K743" i="14"/>
  <c r="K742" i="14"/>
  <c r="K741" i="14"/>
  <c r="K740" i="14"/>
  <c r="K739" i="14"/>
  <c r="K738" i="14"/>
  <c r="K737" i="14"/>
  <c r="K736" i="14"/>
  <c r="K735" i="14"/>
  <c r="K734" i="14"/>
  <c r="K733" i="14"/>
  <c r="K732" i="14"/>
  <c r="K731" i="14"/>
  <c r="K730" i="14"/>
  <c r="K729" i="14"/>
  <c r="K728" i="14"/>
  <c r="K727" i="14"/>
  <c r="K726" i="14"/>
  <c r="K725" i="14"/>
  <c r="K724" i="14"/>
  <c r="K723" i="14"/>
  <c r="K722" i="14"/>
  <c r="K721" i="14"/>
  <c r="K720" i="14"/>
  <c r="K719" i="14"/>
  <c r="K718" i="14"/>
  <c r="K717" i="14"/>
  <c r="K716" i="14"/>
  <c r="K715" i="14"/>
  <c r="K714" i="14"/>
  <c r="K713" i="14"/>
  <c r="K712" i="14"/>
  <c r="K711" i="14"/>
  <c r="K710" i="14"/>
  <c r="K709" i="14"/>
  <c r="K708" i="14"/>
  <c r="K707" i="14"/>
  <c r="K706" i="14"/>
  <c r="K705" i="14"/>
  <c r="K704" i="14"/>
  <c r="K703" i="14"/>
  <c r="K702" i="14"/>
  <c r="K701" i="14"/>
  <c r="K700" i="14"/>
  <c r="K699" i="14"/>
  <c r="K698" i="14"/>
  <c r="K697" i="14"/>
  <c r="K696" i="14"/>
  <c r="K695" i="14"/>
  <c r="K694" i="14"/>
  <c r="K693" i="14"/>
  <c r="K692" i="14"/>
  <c r="K691" i="14"/>
  <c r="K690" i="14"/>
  <c r="K689" i="14"/>
  <c r="K688" i="14"/>
  <c r="K687" i="14"/>
  <c r="K686" i="14"/>
  <c r="K685" i="14"/>
  <c r="K684" i="14"/>
  <c r="K1435" i="14" l="1"/>
  <c r="K1434" i="14"/>
  <c r="K1433" i="14"/>
  <c r="K680" i="14"/>
  <c r="K679" i="14"/>
  <c r="K678" i="14"/>
  <c r="K677" i="14"/>
  <c r="K676" i="14"/>
  <c r="K675" i="14"/>
  <c r="K674" i="14"/>
  <c r="K673" i="14"/>
  <c r="K672" i="14"/>
  <c r="K671" i="14"/>
  <c r="K670" i="14"/>
  <c r="K669" i="14"/>
  <c r="K662" i="14"/>
  <c r="K660" i="14"/>
  <c r="K657" i="14"/>
  <c r="K653" i="14"/>
  <c r="K652" i="14"/>
  <c r="K651" i="14"/>
  <c r="K644" i="14"/>
  <c r="K643" i="14"/>
  <c r="K642" i="14"/>
  <c r="K638" i="14"/>
  <c r="K637" i="14"/>
  <c r="K629" i="14"/>
  <c r="K625" i="14"/>
  <c r="K624" i="14" l="1"/>
  <c r="K623" i="14"/>
  <c r="K622" i="14"/>
  <c r="K621" i="14"/>
  <c r="K620" i="14"/>
  <c r="K619" i="14"/>
  <c r="K615" i="14"/>
  <c r="K614" i="14"/>
  <c r="K613" i="14"/>
  <c r="K612" i="14"/>
  <c r="K611" i="14"/>
  <c r="K608" i="14"/>
  <c r="K607" i="14"/>
  <c r="K606" i="14"/>
  <c r="K604" i="14"/>
  <c r="K603" i="14"/>
  <c r="K602" i="14"/>
  <c r="K601" i="14"/>
  <c r="K600" i="14"/>
  <c r="K599" i="14"/>
  <c r="K598" i="14"/>
  <c r="K597" i="14"/>
  <c r="K596" i="14"/>
  <c r="K1432" i="14" l="1"/>
  <c r="K1431" i="14"/>
  <c r="K1430" i="14"/>
  <c r="K1429" i="14"/>
  <c r="K1428" i="14"/>
  <c r="K1427" i="14"/>
  <c r="K1426" i="14"/>
  <c r="K1425" i="14"/>
  <c r="K1424" i="14"/>
  <c r="K1423" i="14"/>
  <c r="K595" i="14"/>
  <c r="K594" i="14"/>
  <c r="K593" i="14"/>
  <c r="K592" i="14"/>
  <c r="K591" i="14"/>
  <c r="K590" i="14"/>
  <c r="K589" i="14"/>
  <c r="K588" i="14"/>
  <c r="K587" i="14"/>
  <c r="K586" i="14"/>
  <c r="K585" i="14"/>
  <c r="K584" i="14"/>
  <c r="K583" i="14"/>
  <c r="K582" i="14"/>
  <c r="K581" i="14"/>
  <c r="K580" i="14"/>
  <c r="K579" i="14"/>
  <c r="K578" i="14"/>
  <c r="K577" i="14"/>
  <c r="K576" i="14"/>
  <c r="K575" i="14"/>
  <c r="K573" i="14"/>
  <c r="K572" i="14"/>
  <c r="K571" i="14"/>
  <c r="K570" i="14"/>
  <c r="K569" i="14"/>
  <c r="K568" i="14"/>
  <c r="K567" i="14"/>
  <c r="K566" i="14"/>
  <c r="K565" i="14"/>
  <c r="K564" i="14"/>
  <c r="K563" i="14"/>
  <c r="K562" i="14"/>
  <c r="K561" i="14"/>
  <c r="K560" i="14"/>
  <c r="K559" i="14"/>
  <c r="K558" i="14"/>
  <c r="K557" i="14"/>
  <c r="K556" i="14"/>
  <c r="K555" i="14"/>
  <c r="K554" i="14"/>
  <c r="K552" i="14"/>
  <c r="K551" i="14"/>
  <c r="K550" i="14"/>
  <c r="K549" i="14"/>
  <c r="K548" i="14"/>
  <c r="K547" i="14"/>
  <c r="K546" i="14"/>
  <c r="K545" i="14"/>
  <c r="K544" i="14"/>
  <c r="K543" i="14"/>
  <c r="K542" i="14"/>
  <c r="K541" i="14"/>
  <c r="K540" i="14"/>
  <c r="K539" i="14"/>
  <c r="K538" i="14"/>
  <c r="K537" i="14"/>
  <c r="K536" i="14"/>
  <c r="K535" i="14"/>
  <c r="K534" i="14"/>
  <c r="K533" i="14"/>
  <c r="K532" i="14"/>
  <c r="K531" i="14"/>
  <c r="K530" i="14"/>
  <c r="K529" i="14"/>
  <c r="K528" i="14"/>
  <c r="K527" i="14"/>
  <c r="K526" i="14"/>
  <c r="K525" i="14"/>
  <c r="K524" i="14"/>
  <c r="K523" i="14"/>
  <c r="K522" i="14"/>
  <c r="K521" i="14"/>
  <c r="K520" i="14"/>
  <c r="K519" i="14"/>
  <c r="K518" i="14"/>
  <c r="K517" i="14"/>
  <c r="K516" i="14"/>
  <c r="K515" i="14"/>
  <c r="K514" i="14"/>
  <c r="K511" i="14"/>
  <c r="K509" i="14"/>
  <c r="K508" i="14"/>
  <c r="K1480" i="14" l="1"/>
  <c r="K1419" i="14"/>
  <c r="K1417" i="14"/>
  <c r="K1416" i="14"/>
  <c r="K1415" i="14"/>
  <c r="K1414" i="14"/>
  <c r="K507" i="14"/>
  <c r="K506" i="14"/>
  <c r="K505" i="14"/>
  <c r="K504" i="14"/>
  <c r="K500" i="14"/>
  <c r="K498" i="14"/>
  <c r="K496" i="14"/>
  <c r="K495" i="14"/>
  <c r="K494" i="14"/>
  <c r="K490" i="14"/>
  <c r="K485" i="14"/>
  <c r="K479" i="14"/>
  <c r="K473" i="14"/>
  <c r="K472" i="14"/>
  <c r="K470" i="14"/>
  <c r="K469" i="14"/>
  <c r="K466" i="14"/>
  <c r="K465" i="14"/>
  <c r="K464" i="14"/>
  <c r="K457" i="14"/>
  <c r="K451" i="14"/>
  <c r="K449" i="14"/>
  <c r="K442" i="14"/>
  <c r="K435" i="14"/>
  <c r="K434" i="14"/>
  <c r="K8" i="14" l="1"/>
  <c r="K7" i="14"/>
  <c r="K6" i="14"/>
  <c r="K5" i="14"/>
  <c r="K4" i="14"/>
  <c r="K3"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401" i="14"/>
  <c r="K400" i="14"/>
  <c r="K399" i="14"/>
  <c r="K398" i="14"/>
  <c r="K397" i="14"/>
  <c r="K396" i="14"/>
  <c r="K395" i="14"/>
  <c r="K394" i="14"/>
  <c r="K392" i="14"/>
  <c r="K391" i="14"/>
  <c r="K390" i="14"/>
  <c r="K389" i="14"/>
  <c r="K388" i="14"/>
  <c r="K387" i="14"/>
  <c r="K386" i="14"/>
  <c r="K385" i="14"/>
  <c r="K384" i="14"/>
  <c r="K383" i="14"/>
  <c r="K382" i="14"/>
  <c r="K381" i="14"/>
  <c r="K380" i="14"/>
  <c r="K379" i="14"/>
  <c r="K378" i="14"/>
  <c r="K377" i="14"/>
  <c r="K376" i="14"/>
  <c r="K375" i="14"/>
  <c r="K373" i="14"/>
  <c r="K372" i="14"/>
  <c r="K371" i="14"/>
  <c r="K370" i="14"/>
  <c r="K369" i="14"/>
  <c r="K368" i="14"/>
  <c r="K367" i="14"/>
  <c r="K366" i="14"/>
  <c r="K365" i="14"/>
  <c r="K364" i="14"/>
  <c r="K363" i="14"/>
  <c r="K362" i="14"/>
  <c r="K361" i="14"/>
  <c r="K360" i="14"/>
  <c r="K359" i="14"/>
  <c r="K358" i="14"/>
  <c r="K357" i="14"/>
  <c r="K356" i="14"/>
  <c r="K355" i="14"/>
  <c r="K354" i="14"/>
  <c r="K353" i="14"/>
  <c r="K352" i="14"/>
  <c r="K351" i="14"/>
  <c r="K350" i="14"/>
  <c r="K349" i="14"/>
  <c r="K348" i="14"/>
  <c r="K347" i="14"/>
  <c r="K346" i="14"/>
  <c r="K345" i="14"/>
  <c r="K344" i="14"/>
  <c r="K343" i="14"/>
  <c r="K342" i="14"/>
  <c r="K341" i="14"/>
  <c r="K340" i="14"/>
  <c r="K339" i="14"/>
  <c r="K338" i="14"/>
  <c r="K337" i="14"/>
  <c r="K336" i="14"/>
  <c r="K335" i="14"/>
  <c r="K334" i="14"/>
  <c r="K333" i="14"/>
  <c r="K332" i="14"/>
  <c r="K331" i="14"/>
  <c r="K1412" i="14"/>
  <c r="K1410" i="14"/>
  <c r="K1409" i="14"/>
  <c r="K1408" i="14"/>
  <c r="K1407" i="14"/>
  <c r="K1406" i="14"/>
  <c r="K1405" i="14"/>
  <c r="K1404" i="14"/>
  <c r="K1403" i="14"/>
  <c r="K1402" i="14"/>
  <c r="K1401" i="14"/>
  <c r="K1400" i="14"/>
  <c r="K1399" i="14"/>
  <c r="K1398" i="14"/>
  <c r="K1397" i="14"/>
  <c r="K1396" i="14"/>
  <c r="K1395" i="14"/>
  <c r="K1393" i="14"/>
  <c r="K1392" i="14"/>
  <c r="K1391" i="14"/>
  <c r="K1390" i="14"/>
  <c r="K1388" i="14"/>
  <c r="K1387" i="14"/>
  <c r="K330" i="14"/>
  <c r="K329" i="14"/>
  <c r="K326" i="14"/>
  <c r="K323" i="14"/>
  <c r="K315" i="14"/>
  <c r="K314" i="14"/>
  <c r="K310" i="14"/>
  <c r="K307" i="14"/>
  <c r="K299" i="14"/>
  <c r="K298" i="14"/>
  <c r="K296" i="14"/>
  <c r="K294" i="14"/>
  <c r="K293" i="14"/>
  <c r="K292" i="14"/>
  <c r="K291" i="14"/>
  <c r="K290" i="14"/>
  <c r="K289" i="14"/>
  <c r="K288" i="14"/>
  <c r="K286" i="14"/>
  <c r="K285" i="14"/>
  <c r="K324" i="14"/>
  <c r="K21" i="14"/>
  <c r="K276" i="14"/>
  <c r="K273" i="14"/>
  <c r="K272" i="14"/>
  <c r="K271" i="14"/>
  <c r="K270" i="14"/>
  <c r="K269" i="14"/>
  <c r="K268" i="14"/>
  <c r="K267" i="14"/>
  <c r="K264" i="14"/>
  <c r="K263" i="14"/>
  <c r="K262" i="14"/>
  <c r="K260" i="14"/>
  <c r="K256" i="14"/>
  <c r="K249" i="14"/>
  <c r="K244" i="14"/>
  <c r="K243" i="14"/>
  <c r="K242" i="14"/>
  <c r="K241" i="14"/>
  <c r="K239" i="14"/>
  <c r="K238" i="14"/>
  <c r="K231" i="14"/>
  <c r="K211" i="14"/>
  <c r="K301" i="15" l="1"/>
  <c r="K300" i="15"/>
  <c r="K270" i="15"/>
  <c r="K269" i="15"/>
  <c r="K268" i="15"/>
  <c r="K267" i="15"/>
  <c r="K266" i="15"/>
  <c r="K264" i="15"/>
  <c r="K490" i="15" l="1"/>
  <c r="K489" i="15"/>
  <c r="K261" i="15"/>
  <c r="K260" i="15"/>
  <c r="K484" i="15"/>
  <c r="K257" i="15"/>
  <c r="K256" i="15"/>
  <c r="K255" i="15"/>
  <c r="K254" i="15"/>
  <c r="K253" i="15"/>
  <c r="K252" i="15"/>
  <c r="K251" i="15"/>
  <c r="K250" i="15"/>
  <c r="K478" i="15"/>
  <c r="K476" i="15"/>
  <c r="K475" i="15"/>
  <c r="K474" i="15"/>
  <c r="K473" i="15"/>
  <c r="K247" i="15"/>
  <c r="K246" i="15"/>
  <c r="K245" i="15"/>
  <c r="K244" i="15"/>
  <c r="K243" i="15"/>
  <c r="E471" i="15" l="1"/>
  <c r="K470" i="15"/>
  <c r="K469" i="15"/>
  <c r="K468" i="15"/>
  <c r="E298" i="15"/>
  <c r="K297" i="15"/>
  <c r="K238" i="15"/>
  <c r="K236" i="15"/>
  <c r="K235" i="15"/>
  <c r="K233" i="15"/>
  <c r="K232" i="15"/>
  <c r="E466" i="15"/>
  <c r="K464" i="15"/>
  <c r="K463" i="15"/>
  <c r="K462" i="15"/>
  <c r="K461" i="15"/>
  <c r="K228" i="15"/>
  <c r="K227" i="15"/>
  <c r="K226" i="15"/>
  <c r="K225" i="15"/>
  <c r="K224" i="15"/>
  <c r="K223" i="15"/>
  <c r="K222" i="15"/>
  <c r="K451" i="15"/>
  <c r="K219" i="15"/>
  <c r="K218" i="15"/>
  <c r="K432" i="15" l="1"/>
  <c r="K430" i="15"/>
  <c r="K201" i="15"/>
  <c r="K199" i="15"/>
  <c r="K426" i="15"/>
  <c r="K423" i="15"/>
  <c r="K196" i="15"/>
  <c r="K193" i="15"/>
  <c r="K308" i="15"/>
  <c r="K294" i="15"/>
  <c r="K415" i="15" l="1"/>
  <c r="K190" i="15"/>
  <c r="E292" i="15"/>
  <c r="K291" i="15"/>
  <c r="K186" i="15"/>
  <c r="K409" i="15"/>
  <c r="K407" i="15"/>
  <c r="K406" i="15"/>
  <c r="K182" i="15"/>
  <c r="K181" i="15"/>
  <c r="K180" i="15"/>
  <c r="K179" i="15"/>
  <c r="K163" i="15"/>
  <c r="K156" i="15"/>
  <c r="K396" i="15" l="1"/>
  <c r="K394" i="15"/>
  <c r="K153" i="15"/>
  <c r="K152" i="15"/>
  <c r="K149" i="15"/>
  <c r="K280" i="15"/>
  <c r="K391" i="15" l="1"/>
  <c r="K389" i="15"/>
  <c r="K388" i="15"/>
  <c r="K387" i="15"/>
  <c r="K386" i="15"/>
  <c r="K385" i="15"/>
  <c r="K384" i="15"/>
  <c r="K383" i="15"/>
  <c r="K382" i="15"/>
  <c r="K381" i="15"/>
  <c r="K380" i="15"/>
  <c r="K379" i="15"/>
  <c r="K378" i="15"/>
  <c r="K377" i="15"/>
  <c r="K146" i="15"/>
  <c r="K144" i="15"/>
  <c r="K143" i="15"/>
  <c r="K141" i="15"/>
  <c r="K135" i="15"/>
  <c r="K287" i="15" l="1"/>
  <c r="K132" i="15"/>
  <c r="K131" i="15"/>
  <c r="K130" i="15"/>
  <c r="K129" i="15"/>
  <c r="K128" i="15"/>
  <c r="K374" i="15"/>
  <c r="K373" i="15"/>
  <c r="K372" i="15"/>
  <c r="K371" i="15"/>
  <c r="K370" i="15"/>
  <c r="K369" i="15"/>
  <c r="K368" i="15"/>
  <c r="K125" i="15"/>
  <c r="K124" i="15"/>
  <c r="K123" i="15"/>
  <c r="K122" i="15"/>
  <c r="K121" i="15"/>
  <c r="K120" i="15"/>
  <c r="K119" i="15"/>
  <c r="K118" i="15"/>
  <c r="K110" i="15"/>
  <c r="K102" i="15"/>
  <c r="K100" i="15"/>
  <c r="K97" i="15" l="1"/>
  <c r="K94" i="15"/>
  <c r="K93" i="15"/>
  <c r="K92" i="15"/>
  <c r="K90" i="15" l="1"/>
  <c r="K88" i="15" l="1"/>
  <c r="K87" i="15"/>
  <c r="K86" i="15"/>
  <c r="K84" i="15"/>
  <c r="K83" i="15"/>
  <c r="K82" i="15"/>
  <c r="K81" i="15"/>
  <c r="K76" i="15"/>
  <c r="K69" i="15"/>
  <c r="K365" i="15"/>
  <c r="K364" i="15"/>
  <c r="K363" i="15"/>
  <c r="K362" i="15"/>
  <c r="K361" i="15"/>
  <c r="K360" i="15"/>
  <c r="K359" i="15"/>
  <c r="K358" i="15"/>
  <c r="K357" i="15"/>
  <c r="K356" i="15"/>
  <c r="K355" i="15"/>
  <c r="K354" i="15"/>
  <c r="K353" i="15"/>
  <c r="K352" i="15"/>
  <c r="K351" i="15"/>
  <c r="K350" i="15"/>
  <c r="K349" i="15"/>
  <c r="K348" i="15"/>
  <c r="K347" i="15"/>
  <c r="K345" i="15"/>
  <c r="K344" i="15"/>
  <c r="K343" i="15"/>
  <c r="K66" i="15"/>
  <c r="K65" i="15"/>
  <c r="K306" i="15"/>
  <c r="K307" i="15"/>
  <c r="K64" i="15"/>
  <c r="K63" i="15"/>
  <c r="K62" i="15"/>
  <c r="K61" i="15"/>
  <c r="K60" i="15"/>
  <c r="K59" i="15"/>
  <c r="K56" i="15"/>
  <c r="K55" i="15"/>
  <c r="K53" i="15"/>
  <c r="K52" i="15"/>
  <c r="K49" i="15"/>
  <c r="K48" i="15"/>
  <c r="K47" i="15"/>
  <c r="K210" i="14" l="1"/>
  <c r="K209" i="14"/>
  <c r="K208" i="14"/>
  <c r="K207" i="14"/>
  <c r="K206" i="14"/>
  <c r="K205" i="14"/>
  <c r="K204" i="14"/>
  <c r="K203" i="14"/>
  <c r="K202" i="14"/>
  <c r="K201" i="14"/>
  <c r="K200" i="14"/>
  <c r="K199" i="14"/>
  <c r="K198" i="14"/>
  <c r="K197" i="14"/>
  <c r="K196" i="14"/>
  <c r="K337" i="15" l="1"/>
  <c r="K1374" i="14" l="1"/>
  <c r="K1373" i="14"/>
  <c r="K1372" i="14"/>
  <c r="K1371" i="14"/>
  <c r="K1370" i="14"/>
  <c r="K194" i="14"/>
  <c r="K193" i="14"/>
  <c r="K162" i="14"/>
  <c r="K161" i="14"/>
  <c r="K160" i="14"/>
  <c r="K159" i="14"/>
  <c r="K158" i="14"/>
  <c r="K157" i="14"/>
  <c r="K156" i="14"/>
  <c r="K155" i="14"/>
  <c r="K154" i="14"/>
  <c r="K153" i="14"/>
  <c r="K152" i="14"/>
  <c r="K151" i="14"/>
  <c r="K150" i="14"/>
  <c r="K149" i="14"/>
  <c r="K148" i="14"/>
  <c r="K146" i="14"/>
  <c r="K145" i="14"/>
  <c r="K144" i="14"/>
  <c r="K143" i="14"/>
  <c r="K20" i="14" l="1"/>
  <c r="K19" i="14"/>
  <c r="K18" i="14"/>
  <c r="K17" i="14"/>
  <c r="K16" i="14"/>
  <c r="K15" i="14"/>
  <c r="K14" i="14"/>
  <c r="K13" i="14"/>
  <c r="K12" i="14"/>
  <c r="K11" i="14"/>
  <c r="K10" i="14"/>
  <c r="K9" i="14"/>
  <c r="K22" i="14"/>
  <c r="K23" i="14"/>
  <c r="K24" i="14"/>
  <c r="K25" i="14"/>
  <c r="K26" i="14"/>
  <c r="K27" i="14"/>
  <c r="K28" i="14"/>
  <c r="K29" i="14"/>
  <c r="K30" i="14"/>
  <c r="K31" i="14"/>
  <c r="K32" i="14"/>
  <c r="K33" i="14"/>
  <c r="K34" i="14"/>
  <c r="K35" i="14"/>
  <c r="K36" i="14"/>
  <c r="K37" i="14"/>
  <c r="K44" i="14" l="1"/>
  <c r="K43" i="14"/>
  <c r="K42" i="14"/>
  <c r="K41" i="14"/>
  <c r="K40" i="14"/>
  <c r="K39" i="14"/>
  <c r="K38" i="14"/>
  <c r="K12" i="15" l="1"/>
  <c r="K11" i="15"/>
  <c r="K320" i="15" l="1"/>
  <c r="K319" i="15"/>
  <c r="K317" i="15"/>
  <c r="K316" i="15"/>
  <c r="K315" i="15"/>
  <c r="K314" i="15"/>
  <c r="K313" i="15"/>
  <c r="K312" i="15"/>
  <c r="K311" i="15"/>
  <c r="K310" i="15"/>
  <c r="K309" i="15"/>
  <c r="K10" i="15"/>
  <c r="K9" i="15"/>
  <c r="K8" i="15"/>
  <c r="K7" i="15"/>
  <c r="K6" i="15"/>
  <c r="K5" i="15"/>
</calcChain>
</file>

<file path=xl/sharedStrings.xml><?xml version="1.0" encoding="utf-8"?>
<sst xmlns="http://schemas.openxmlformats.org/spreadsheetml/2006/main" count="17151" uniqueCount="6761">
  <si>
    <t>國外旅費</t>
  </si>
  <si>
    <t>備註</t>
  </si>
  <si>
    <t>大陸地區旅費</t>
  </si>
  <si>
    <t>工作計畫</t>
  </si>
  <si>
    <t>用途別科目(二級)</t>
  </si>
  <si>
    <t>預算(保留)金額</t>
  </si>
  <si>
    <t>決算金額(含保留數)</t>
  </si>
  <si>
    <t>出國類別</t>
  </si>
  <si>
    <t>出國計畫名稱及內容簡述</t>
  </si>
  <si>
    <t>國家</t>
  </si>
  <si>
    <t>城市</t>
  </si>
  <si>
    <t>開會</t>
  </si>
  <si>
    <t>研發能量提升計畫</t>
  </si>
  <si>
    <t>發展新世代台灣癌症之精準醫療路徑圖計畫</t>
  </si>
  <si>
    <t>歐美亞澳非洲</t>
  </si>
  <si>
    <t>赴英國倫敦The Institute of Cancer Research進行癌症登月計畫會議</t>
  </si>
  <si>
    <t>108/04/12-108/04/21</t>
  </si>
  <si>
    <t>英國(United Kingdom)</t>
  </si>
  <si>
    <t>倫敦(London)</t>
  </si>
  <si>
    <t>赴英國倫敦The Institute of Cancer Research (ICR)癌症研究所討論台灣癌症登月計畫多體學數據整合分析與研習。</t>
  </si>
  <si>
    <t>108/04/14-108/04/20</t>
  </si>
  <si>
    <t>前往英國倫敦癌症研究所討論台灣癌症登月計畫多體學數據整合分析與研習，共同討論從基因體、轉錄體學至蛋白體暨磷酸化蛋白體學分析與數據視覺化之呈現與潛在生物標的之篩選，與討論本次數據分析之論文撰寫。</t>
  </si>
  <si>
    <t>108/01/27-108/02/01</t>
  </si>
  <si>
    <t>赴英國倫敦癌症研究所討論台灣癌症登月計畫多體學數據分析與論文撰寫 「台灣癌症登月計畫」團隊與「英國倫敦癌症研究所」雙方合作，本次將由 陳玉如所長團隊於4月14-20日代表，前往英國倫敦癌症研究所討論台灣癌症登月計畫多體學數據整合分析成果與研習，共同討論從基因體、轉錄體學至蛋白體暨磷酸化蛋白體學分析與數據視覺化之呈現及潛在生物標的之篩選，與討論本次數據分析之論文撰寫。</t>
  </si>
  <si>
    <t>108/04/14-108/04/21</t>
  </si>
  <si>
    <t>動物保健產業及安全防護科技創新開發計畫</t>
  </si>
  <si>
    <t>科研環境領航計畫</t>
  </si>
  <si>
    <t>國家生技研究園區計畫</t>
  </si>
  <si>
    <t>打造世界級蛋白質研發重鎮計畫</t>
  </si>
  <si>
    <t>生技醫藥轉譯創新發展計畫</t>
  </si>
  <si>
    <t>前往美國聖地牙哥參加Cambridge Healthtech Institute's 14th Annual Drug Discovery Chemistry.</t>
  </si>
  <si>
    <t>108/04/04-108/04/13</t>
  </si>
  <si>
    <t>美國(U.S.A.)</t>
  </si>
  <si>
    <t>聖地牙哥(San Diego,California)</t>
  </si>
  <si>
    <t>生技醫藥轉譯創新發展計畫-高速藥物篩選資源中心</t>
  </si>
  <si>
    <t>108/01/31-108/02/09</t>
  </si>
  <si>
    <t>華盛頓特區(Washington)</t>
  </si>
  <si>
    <t>高階分析儀器的自研自製與自用計畫</t>
  </si>
  <si>
    <t>美國</t>
  </si>
  <si>
    <t>參加50th Annual meeting of the APS Division of Atomic, Molecular and Optical Physics</t>
  </si>
  <si>
    <t>108/05/25-108/06/04</t>
  </si>
  <si>
    <t>Wisconsin</t>
  </si>
  <si>
    <t>參加第67屆質譜學會年會並發表壁報論文</t>
  </si>
  <si>
    <t>108/05/31-108/06/10</t>
  </si>
  <si>
    <t>亞特蘭大(Atlanta,Georgia)</t>
  </si>
  <si>
    <t>參加2019匹茲堡分析化學及應用光譜學會議(2019 Pitton)</t>
  </si>
  <si>
    <t>108/03/16-108/03/24</t>
  </si>
  <si>
    <t>費城(Philadelphia,Pennsylvania)</t>
  </si>
  <si>
    <t>韓國</t>
  </si>
  <si>
    <t>歐洲</t>
  </si>
  <si>
    <t>育成中心計畫</t>
  </si>
  <si>
    <t>歐美亞澳非</t>
  </si>
  <si>
    <t>接受補助或委託計畫</t>
  </si>
  <si>
    <t>歐亞美非澳</t>
  </si>
  <si>
    <t>模型式的反分圓岩澤理論(謝銘倫)_103-2115-M-001-013-MY5</t>
  </si>
  <si>
    <t>受邀參加會議 AMS Sectional Meeting, Special Session: “Advances in Iwasawa Theory”</t>
  </si>
  <si>
    <t>108/03/20-108/03/24</t>
  </si>
  <si>
    <t>夏威夷州(State of Hawaii)</t>
  </si>
  <si>
    <t>蒙地卡羅馬氏過程及其在隨機動力系統的相關問題(黃啟瑞)_107-2115-M-001-008-</t>
  </si>
  <si>
    <t>受邀參加會議 Two Random Days - in honour of Alok Goswami, Arup Bose and Rahul Roy</t>
  </si>
  <si>
    <t>108/04/23-108/04/27</t>
  </si>
  <si>
    <t>印度(India)</t>
  </si>
  <si>
    <t>加爾各答(Kolkata)</t>
  </si>
  <si>
    <t>守恆律初邊值問題(劉太平)_107-2115-M-001-010-</t>
  </si>
  <si>
    <t>受邀參加國際會議 The 36th Kyushu Symposium on Partial Differential Equation</t>
  </si>
  <si>
    <t>108/01/27-108/01/30</t>
  </si>
  <si>
    <t>日本(Japan)</t>
  </si>
  <si>
    <t>福岡(Fukuoka)</t>
  </si>
  <si>
    <t>格里斯代數及OZ類有理頂點算子代數的研究(林正洪)_107-2115-M-001-003-MY3</t>
  </si>
  <si>
    <t>受邀至廈門大學移地研究</t>
  </si>
  <si>
    <t>108/01/20-108/01/24</t>
  </si>
  <si>
    <t>中國大陸(China)</t>
  </si>
  <si>
    <t>廈門(Xiamen)</t>
  </si>
  <si>
    <t>模p志村族及德林費模空間之幾何(余家富)_107-2115-M-001-001-MY2</t>
  </si>
  <si>
    <t>受邀至南京大學移地研究</t>
  </si>
  <si>
    <t>108/01/07-108/01/21</t>
  </si>
  <si>
    <t>南京(Nanjing)</t>
  </si>
  <si>
    <t>自守表示與Langlands函子性猜想的相關課題(莫仲鵬)_107-2115-M-001-014-MY3</t>
  </si>
  <si>
    <t>受邀參加 On the Langlands Program: Endoscopy and Beyond</t>
  </si>
  <si>
    <t>108/01/06-108/01/18</t>
  </si>
  <si>
    <t>新加坡(Singapore)</t>
  </si>
  <si>
    <t>拓譜超導體與馬約拉納費米子之研究_106-2112-M-001-019-MY3</t>
  </si>
  <si>
    <t>赴美國波士頓出席「APS March Meeting 2019」會議並發表論文。</t>
  </si>
  <si>
    <t>108/03/02-108/03/14</t>
  </si>
  <si>
    <t>波士頓(Boston,Massachuseetts)</t>
  </si>
  <si>
    <t>理論探討高溫超導體的pair density wave態_107-2112-M-001-034-</t>
  </si>
  <si>
    <t>參加美國物理年會</t>
  </si>
  <si>
    <t>108/02/27-108/03/10</t>
  </si>
  <si>
    <t>同調與非同調兆赫聲子學_107-2119-M-001-046-</t>
  </si>
  <si>
    <t>參加2019 American Physical Society物理年會</t>
  </si>
  <si>
    <t>108/03/03-108/03/10</t>
  </si>
  <si>
    <t>味物理的量子色動力學研究_107-2119-M-001-035-MY3</t>
  </si>
  <si>
    <t>出席「第三屆IBS-KIAS聯合研討會」並發表學術專題論文演講</t>
  </si>
  <si>
    <t>108/02/10-108/02/16</t>
  </si>
  <si>
    <t>南韓(Korea)</t>
  </si>
  <si>
    <t>江原道</t>
  </si>
  <si>
    <t>探索多信息宇宙-從參與重力波天文台的建設到大型巡天望遠鏡(2/5)_MOST107-2628-M-007-003</t>
  </si>
  <si>
    <t>本所研究生黃筠淨小姐於2019年2月10日至2月17日前往日本京都大學參與宇宙重力實驗之討論工作會議。</t>
  </si>
  <si>
    <t>108/02/10-108/02/17</t>
  </si>
  <si>
    <t>京都(Kyoto)</t>
  </si>
  <si>
    <t>運用掃描穿隧能譜影像技術研究新穎拓樸相_107-2628-M-001-003-MY3</t>
  </si>
  <si>
    <t>赴美國波士頓參加「2019 APS March Meeting」。</t>
  </si>
  <si>
    <t>108/03/03-108/03/09</t>
  </si>
  <si>
    <t>奈米科技學門研究發展及推動計畫_108-2114-M-001-001-</t>
  </si>
  <si>
    <t>赴義大利羅馬「M-ERA.NET Steering Board meeting進行學術與技術交流。</t>
  </si>
  <si>
    <t>108/01/27-108/01/31</t>
  </si>
  <si>
    <t>義大利(Italy)</t>
  </si>
  <si>
    <t>羅馬(Rome)</t>
  </si>
  <si>
    <t>灰野禎一博士擬於2019年2月4日至2月6日前往英國Glasgow大學從事KAGRA計畫之相關學術工作會議、技術交流活動。</t>
  </si>
  <si>
    <t>108/02/04-108/02/06</t>
  </si>
  <si>
    <t>格洛哥(Glasgow)</t>
  </si>
  <si>
    <t>以一維約瑟夫森結陣列研究量子真空輻射_MOST104-2112-M-001-016-MY3</t>
  </si>
  <si>
    <t>出席The 4th Symposium Advanced Materials for ASEAN Network from Jan20-22,2019會議，並受邀演講。</t>
  </si>
  <si>
    <t>泰國(Thailand)</t>
  </si>
  <si>
    <t>aresuan</t>
  </si>
  <si>
    <t>研究微管在生物多尺度拓撲結構變化中的角色_107-2112-M-001-040-MY3</t>
  </si>
  <si>
    <t>赴美國紐約Flatiron Health進行研究</t>
  </si>
  <si>
    <t>107/12/21-108/01/04</t>
  </si>
  <si>
    <t>紐約市(New York,New York)</t>
  </si>
  <si>
    <t>新穎多尺度微顆粒懸液/複雜流體物理模型_107-2112-M-001-031-MY3</t>
  </si>
  <si>
    <t>陳彥龍副研究員擬於2019-03-02至2019-03-11赴美國波士頓參加 APS March Meeting 2019會議並發表論文</t>
  </si>
  <si>
    <t>108/03/02-108/03/11</t>
  </si>
  <si>
    <t>奈米科技創新應用規劃推動計畫_107-2114-M-001-002-</t>
  </si>
  <si>
    <t>出席「nano tech 2019」國際展暨「ASIA NANO EXCO MEETING」會議</t>
  </si>
  <si>
    <t>108/01/29-108/02/01</t>
  </si>
  <si>
    <t>東京(Tokyo)</t>
  </si>
  <si>
    <t>三維漏斗顆粒流堵塞與清通相變研究_107-2112-M-001-025-</t>
  </si>
  <si>
    <t>杜其永研究員擬於2019-03-02至2019-03-11赴美國波士頓參加 APS March Meeting 2019會議</t>
  </si>
  <si>
    <t>純自旋流的產生與自旋力矩的轉移對磁單元結構影響的相關研究_105-2112-M-001-031-MY3</t>
  </si>
  <si>
    <t>赴美國波士頓出席「APS March Meeting 2019」會議並發表論文及至奧斯丁大學學術交流。</t>
  </si>
  <si>
    <t>108/03/03-108/03/14</t>
  </si>
  <si>
    <t>波士頓(Boston,Massachuseetts) 奧斯丁(Austin, Texas)</t>
  </si>
  <si>
    <t>專案補助(編號：108-2914-I-001-003-A1)</t>
  </si>
  <si>
    <t>前往西班牙瓦倫西亞參加 ”European Biotechnology Congress 2019”會議，於會議給予論文口頭報告及學術研討。</t>
  </si>
  <si>
    <t>108/04/04-108/04/16</t>
  </si>
  <si>
    <t>西班牙(Spain)</t>
  </si>
  <si>
    <t>瓦倫西亞(Valencia)</t>
  </si>
  <si>
    <t>手性硫硼氧雜環陽離子應用於不對稱路易士酸催化反應之研究_105-2628-M-001-003-MY4</t>
  </si>
  <si>
    <t>受邀赴泰國參加 6th NRCT-IFS-PERCH-CIC 會議，發表專題演講</t>
  </si>
  <si>
    <t>108/02/20-108/02/24</t>
  </si>
  <si>
    <t>清邁(Chiang mai)</t>
  </si>
  <si>
    <t>膜單加氧?在直鏈烷烴與烷基芳香烴的電化學催化轉換(1/3)_107-2113-M-001-029-</t>
  </si>
  <si>
    <t>本次出國，計劃名稱為"膜單加氧酶在直鏈烷烴與烷基芳香烴的電化學催化轉換"，此次會議主題，與金屬蛋白、酵素暨其仿生催化有極高的相關性。本次發表的壁報論文議題，則與金屬蛋白的奈米仿生催化劑的反應與作用機制相關。</t>
  </si>
  <si>
    <t>108/01/25-108/02/03</t>
  </si>
  <si>
    <t>文圖拉</t>
  </si>
  <si>
    <t>創新的催化和主族元素化學基於新Carbodicarbene和碳氫鍵活化_104-2628-M-001-005-MY4</t>
  </si>
  <si>
    <t>獲邀參與2019 HOPE Meeting</t>
  </si>
  <si>
    <t>108/03/03-108/03/11</t>
  </si>
  <si>
    <t>沖繩(Okinawa)</t>
  </si>
  <si>
    <t>先進的漢彌頓於的耦合值計算與極化子的傳輸應用方法開發_105-2113-M-001-009-MY4</t>
  </si>
  <si>
    <t>至菲律賓宿霧參加34th Philippine Chemistry Congress (34th PCC)</t>
  </si>
  <si>
    <t>108/05/27-108/05/30</t>
  </si>
  <si>
    <t>菲律賓(Philippines)</t>
  </si>
  <si>
    <t>宿霧(Cebu)</t>
  </si>
  <si>
    <t>赴越南舉辦學術專業演講工作坊暨宣傳TIGP</t>
  </si>
  <si>
    <t>108/04/02-108/04/07</t>
  </si>
  <si>
    <t>越南(Vietnam)</t>
  </si>
  <si>
    <t>河內(Hanoi) 胡志明市(Ho Chi Minh City)</t>
  </si>
  <si>
    <t>利用新穎仿生材料平台突破間葉幹細胞在再生醫學上所面臨的細胞老化問題(3/3)_107-2627-M-001-007-</t>
  </si>
  <si>
    <t>本次ISSCR 2019國際研討會，會議旨在推進幹細胞應用至使用類器官的研究科學領域，並探討相關的科學和技術問題。使用類器官的研究正在迅速推進幹細胞科學領域。此技術應用於開發和探討疾病中的幹細胞和細胞基質相互關係，這是一個為期三天的深入科學發表(海報張貼)和討論計劃，探索這項突破性技術及其對醫療保健未來的影響。</t>
  </si>
  <si>
    <t>108/02/17-108/02/24</t>
  </si>
  <si>
    <t>荷蘭(Netherlands)</t>
  </si>
  <si>
    <t>阿姆斯特丹(Amsterdam)</t>
  </si>
  <si>
    <t>1.1/22-23受邀至神戶大學訪問 2.1/24 至大阪大學參加研討會並演講</t>
  </si>
  <si>
    <t>108/01/22-108/01/25</t>
  </si>
  <si>
    <t>大阪(Osaka) 神戶(Kobe)</t>
  </si>
  <si>
    <t>配位聚合物之介電與低能隙性質研究與應用_107-2113-M-001-008-</t>
  </si>
  <si>
    <t>受邀參加第235屆國際電化學會議(The 235th ECS Meeting in Dallas, Texas, USA (May 26-30, 2019))</t>
  </si>
  <si>
    <t>108/05/25-108/06/01</t>
  </si>
  <si>
    <t>達拉斯(Dallas, Texas)</t>
  </si>
  <si>
    <t>智慧災防新南向執行推動辦公室暨新南向國家地球科學重點科技合作研究深耕計畫（１／４）_107-2119-M-001-048</t>
  </si>
  <si>
    <t>1.GNS(紐西蘭地質與核子科學研究所)-TEM MOU簽約、2.參加台灣TEM與紐西蘭GNS地震科學workshop、3.與紐西蘭GNS分組討論可能研究議題、4.參觀紐西蘭GeoNet之地震與GPS觀測網</t>
  </si>
  <si>
    <t>108/01/12-108/01/19</t>
  </si>
  <si>
    <t>紐西蘭(New Zealand)</t>
  </si>
  <si>
    <t>威靈頓(Wellington)</t>
  </si>
  <si>
    <t>赴泰國朱拉隆功大學測量工程學系進行學術交流訪問暨學術合作協議簽訂</t>
  </si>
  <si>
    <t>108/01/23-108/01/26</t>
  </si>
  <si>
    <t>曼谷(Bangkok)</t>
  </si>
  <si>
    <t>雷射剝蝕與多偵測器感應耦合電漿質譜術的開展及應用：以特提斯造山帶西北部喬治亞和東南部印尼蘇拉威西為例（II）_107-2116-M-001-007-</t>
  </si>
  <si>
    <t>赴美參加2018 AGU Fall Meeting並發表論文</t>
  </si>
  <si>
    <t>107/12/07-107/12/17</t>
  </si>
  <si>
    <t>冰衛星之地體動力與演化：不均勻潮汐加熱之效應（３／３）_MOST106-2116-M-001-014</t>
  </si>
  <si>
    <t>107/12/09-107/12/16</t>
  </si>
  <si>
    <t>參加2nd GeoPlaNet Thematic School - Fluid-Rock Interactions in the Solar System及至IPGP(Institut de Physique du Globe de Paris)討論合作研究</t>
  </si>
  <si>
    <t>107/11/11-107/11/27</t>
  </si>
  <si>
    <t>法國(France)</t>
  </si>
  <si>
    <t>Nantes 巴黎(Paris)</t>
  </si>
  <si>
    <t>地球科學學門（地質組）研究發展及推動計畫_107-2114-M-001-001-</t>
  </si>
  <si>
    <t>國際大型學術研討會，吸引世界許多學界人士參與研討、互相交流。會議主要分為口頭報告(Oral)及壁報展示(Poster)，以及另外邀請的特別演講、小型專題討論會、展覽等。</t>
  </si>
  <si>
    <t>107/12/08-107/12/17</t>
  </si>
  <si>
    <t>107年度台灣地震科學中心_107-2116-M-001-023-</t>
  </si>
  <si>
    <t>參加2018 American Geophysical Union (AGU) Fall Meeting，至AGU 會場設攤介紹台灣地震科學中心近年研究成果</t>
  </si>
  <si>
    <t>差動水壓計（DPG）、小型水下聽音器（Hydrophone）及自製寬頻海底地震儀BBYB的特性檢測方法3/3_107-2116-M-001-013-</t>
  </si>
  <si>
    <t>參加2018美國地球物理聯盟秋季大會</t>
  </si>
  <si>
    <t>107/12/09-107/12/17</t>
  </si>
  <si>
    <t>越過西藏(II)：亞洲造山演化與大陸板塊構造的新視野(3/5)_107-2745-M-001-002-ASP</t>
  </si>
  <si>
    <t>拜訪東京工業大學 (TIT: Tokyo Institute of Technology) 地球科學研究所 Prof. Shigenori Maruyama，討論合作研究亞洲造山作用的相關事宜，並共同整理Maruyama教授多年來採集總量數十公噸的岩石標本，選擇運回台北，進行後續分析與合作研究。</t>
  </si>
  <si>
    <t>107/12/11-107/12/15</t>
  </si>
  <si>
    <t>赴華盛頓特區出席2018 AGU Fall Meeting</t>
  </si>
  <si>
    <t>智慧災防新南向執行推動辦公室暨新南向國家地球科學重點科技合作研究深耕計畫(1/4)-前往仰光及緬甸其他地區進行GPS大地測量與海岸地質地形調查</t>
  </si>
  <si>
    <t>107/11/19-107/11/27</t>
  </si>
  <si>
    <t>緬甸(Burma)</t>
  </si>
  <si>
    <t>仰光(Rangoon) Manaung Island</t>
  </si>
  <si>
    <t>CREATE VII:亞洲增生與碰撞大地構 造研究整合型計畫-III 總計畫 (ACT in Asia-III)-俄羅斯西伯利亞南部Dunzhugur蛇綠岩之地球化學研究：元古代古亞洲洋上部地函成分與演化之隱示_107-2116-M-001-005-</t>
  </si>
  <si>
    <t>赴美參加AGU Fall Meeting 2018並發表論文</t>
  </si>
  <si>
    <t>107/12/08-107/12/14</t>
  </si>
  <si>
    <t>大台北都會區與台灣北部山區地震觀測網(III)_107-2116-M-001-012-</t>
  </si>
  <si>
    <t>參加歐洲地球物理聯盟大會(European Geosciences Union General Assembly 2019)</t>
  </si>
  <si>
    <t>108/04/04-108/04/15</t>
  </si>
  <si>
    <t>奧地利(Austria)</t>
  </si>
  <si>
    <t>維也納(Vienna)</t>
  </si>
  <si>
    <t>CREATE VII:亞洲增生與碰撞大地構造研究整合型計畫-III-利用線性陣列與區域地震網觀測資料分析中南半島之地體構造與地震活動 (III)_107-2116-M-001-008-</t>
  </si>
  <si>
    <t>赴奧地利參加The EGU General Assembly 2019會議並發表論文</t>
  </si>
  <si>
    <t>108/04/05-108/04/14</t>
  </si>
  <si>
    <t>快速掘升中的高壓相雜岩體-台灣中央山脈東翼玉里帶： 從隱沒轉變為碰撞作用-總計畫暨子計畫一：重建台灣變質核心中玉里帶及週邊岩石的掘升變形歷史及時空變化：從塑性到脆性_107-2116-M-001-026-MY3</t>
  </si>
  <si>
    <t>本會議為歐洲地球科學年會，為地球科學界之重要會議，主要分為口頭報告(Oral)及壁報展示(Poster)，以及另外邀請的特別演講、小型專題討論會、展覽等，除歐洲學者外，全世界相關領域的研究學者參與非常踴躍，會議盛大。</t>
  </si>
  <si>
    <t>108/04/06-108/04/13</t>
  </si>
  <si>
    <t>台灣速度模型之整合與驗證-台灣速度模型v1.0：反演與整合_107-2116-M-001-009-</t>
  </si>
  <si>
    <t>108/04/09-108/04/14</t>
  </si>
  <si>
    <t>雪山山脈與脊樑山脈之地質界線特徵研究(IV)_107-2116-M-001-002-</t>
  </si>
  <si>
    <t>出國計畫名稱:107年度科技部【 雪山山脈與脊樑山脈之地質界線特徵研究(IV) 】 內容簡述:參加2019年歐洲地球科學聯盟大會並發表論文</t>
  </si>
  <si>
    <t>108/03/31-108/04/14</t>
  </si>
  <si>
    <t>建立以能量分散式、波長分散式螢光X射線分析儀研究全岩化學之綜合分析法(2)_107-2116-M-001-003-</t>
  </si>
  <si>
    <t>赴希臘參加An International Network on Jade Cultures around the World並發表論文</t>
  </si>
  <si>
    <t>108/06/02-108/06/10</t>
  </si>
  <si>
    <t>希臘(Greece)</t>
  </si>
  <si>
    <t>雅典、Syros</t>
  </si>
  <si>
    <t>參加第六屆台菲地球科學國際會議The 6th Philippines-Taiwan Earth Sciences International Conference (PTESIC)</t>
  </si>
  <si>
    <t>108/05/19-108/05/23</t>
  </si>
  <si>
    <t>Clark.Pampanga</t>
  </si>
  <si>
    <t>雙方就兩國水旱災害相關，包括防救災法規、體系、科技進展現況進行 交流，邀請雙方產官學研相關人員參加。就兩國在水旱災害防救體制、技術 各有的優點進行交流，盼建立臺泰兩國在洪旱災害防救技術交流的管道。期 經過兩次論壇開啟兩國未來合作契機，擬定臺泰防災科技合作綱領計畫，規 劃兩國未來合作交流的機關與內容。</t>
  </si>
  <si>
    <t>前往泰國舉辦台泰防災科技論壇及學術交流</t>
  </si>
  <si>
    <t>108/01/20-108/01/25</t>
  </si>
  <si>
    <t>108/01/21-108/01/25</t>
  </si>
  <si>
    <t>能源國家型科技計畫地熱與天然氣水合物主軸中心之推動及管理計畫 (V)_107-3113-F-001-001-</t>
  </si>
  <si>
    <t>第二期能源國家型科技計畫地熱與天然氣水合物主軸中心之推動及管理計畫(V) GeoTHERM為國際地熱研討會，此自前往之目的為瞭解「國際上目前有關地熱開發的現況與未來進展」。</t>
  </si>
  <si>
    <t>108/02/12-108/02/20</t>
  </si>
  <si>
    <t>德國(Germany)</t>
  </si>
  <si>
    <t>Offenburg</t>
  </si>
  <si>
    <t>108/01/21-108/01/24</t>
  </si>
  <si>
    <t>赴澳洲雪梨麥覺理大學行星與地球科學系進行實驗分析與洽談學術合作事宜</t>
  </si>
  <si>
    <t>108/02/08-108/02/17</t>
  </si>
  <si>
    <t>澳大利亞(Australia)</t>
  </si>
  <si>
    <t>雪梨(Sydney)</t>
  </si>
  <si>
    <t>108/01/20-108/01/26</t>
  </si>
  <si>
    <t>前往泰國舉辦台泰防災科技論壇及參加與THA 2019 國際研討會(International Conference on Water Management and Climate Change towards Asia's Water-Energy-Food Nexus and SDGs)</t>
  </si>
  <si>
    <t>108/01/21-108/01/26</t>
  </si>
  <si>
    <t>108/01/21-108/01/23</t>
  </si>
  <si>
    <t>泰國舉辦臺泰水相關災害防患論壇及學術交流.雙方就兩國水旱災害相關，包括防救災法規、體系、科技進展現況進行 交流，邀請雙方產官學研相關人員參加。就兩國在水旱災害防救體制、技術 各有的優點進行交流，盼建立臺泰兩國在洪旱災害防救技術交流的管道。期 經過兩次論壇開啟兩國未來合作契機，擬定臺泰防災科技合作綱領計畫，規 劃兩國未來合作交流的機關與內容。</t>
  </si>
  <si>
    <t>測地學探索地球自轉中的地函－內地核耦合模式及南極洲和北極海重力場年際變化_MOST106-2116-M-001-013</t>
  </si>
  <si>
    <t>前往美國華盛頓參加2018年AGU Meeting (12/10~12/14), 會議後接著進行AGU-AOGS委員會議 (12/15~12/16)</t>
  </si>
  <si>
    <t>107/12/09-107/12/19</t>
  </si>
  <si>
    <t>107/12/04-107/12/18</t>
  </si>
  <si>
    <t>雪山山脈與脊樑山脈之地質界線特徵研究（III）_MOST106-2116-M-001-020</t>
  </si>
  <si>
    <t>出國計畫名稱:106年度科技部【 雪山山脈與脊樑山脈之地質界線特徵研究(III) 】 內容簡述:參加2018 AGU(American Geophysical Union) FALL MEETING 國際會議並發表論文</t>
  </si>
  <si>
    <t>107/12/06-107/12/17</t>
  </si>
  <si>
    <t>河川作用所引起寬頻地震儀所記錄之波型_107-2116-M-001-016-</t>
  </si>
  <si>
    <t>Attending AGU to give a poster presentation</t>
  </si>
  <si>
    <t>107/12/08-107/12/21</t>
  </si>
  <si>
    <t>赴美國西雅圖參加2019 Seismology Society of America Annual Meeting 發表研究成果 (科技部補助編號108-2914-I-001-015-A1)</t>
  </si>
  <si>
    <t>赴美國西雅圖參加2019 Seismology Society of America Annual Meeting 發表研究成果</t>
  </si>
  <si>
    <t>108/04/19-108/04/28</t>
  </si>
  <si>
    <t>西雅圖(Seattle,Washington)</t>
  </si>
  <si>
    <t>表示法學習及其在語音與音樂處理之應用_105-2221-E-001-012-MY3</t>
  </si>
  <si>
    <t>E621_表示法學習及其在語音與音樂處理之應用_MOST105-2221-E-001-012-MY3_ICASSP2019</t>
  </si>
  <si>
    <t>108/05/11-108/05/18</t>
  </si>
  <si>
    <t>Brighton</t>
  </si>
  <si>
    <t>以使用者有感為導向的環境物聯網大數據分析：以 PM2.5 為例-以使用者有感為導向的環境物聯網大數據分析_107-2218-E-001-006-</t>
  </si>
  <si>
    <t>科技部_P18016_ MOST-107-2218-E-001-006以用者有感為向的環境物聯網大數據分析：以PM2.5為例(2/3)_INFocom 2019</t>
  </si>
  <si>
    <t>108/04/28-108/05/04</t>
  </si>
  <si>
    <t>巴黎(Paris)</t>
  </si>
  <si>
    <t>以圖形處理器運算為基礎之行動社群網路探勘-基於使用者移動模式分析之社群運算支援圖演化推論與社群網路錯誤偵測(3/3)_MOS107-2218-E-002-010</t>
  </si>
  <si>
    <t>P18043_以圖型處理器運算為基礎之行動社群網路探勘-基於使用者移動模式分析之社群運算支援圖演化推論與社群網路錯誤偵測(3/3)_MOS107-2218-E-002-010_INFOCOM 2019</t>
  </si>
  <si>
    <t>108/04/27-108/05/04</t>
  </si>
  <si>
    <t>沉浸式混合實境之資料查詢技術開發與研究_107-2221-E-001-011-MY3</t>
  </si>
  <si>
    <t>P18024_沉浸式混合實境之資料查詢技術開發與研究_MOST107-2221-E-001-011-MY3_INFOCOM 2019</t>
  </si>
  <si>
    <t>源於GAN的深度學習技術與網路精簡化在電腦視覺的應用(2/4)_108-2634-F-001-007-</t>
  </si>
  <si>
    <t>科技部_源於GAN的深度學習技術與網路精簡化在電腦視覺的應用_MOST 108-2634-F-001-007_AAAI 2019</t>
  </si>
  <si>
    <t>108/01/26-108/02/02</t>
  </si>
  <si>
    <t>檀香山</t>
  </si>
  <si>
    <t>深度感知學習網路--以深度學習實現壓縮感知_107-2221-E-001-015-MY2</t>
  </si>
  <si>
    <t>P18026_深度感知學習網路--以深度學習實現壓縮感知_MOST107-2221-E-001-015-MY2_ICBET 2019</t>
  </si>
  <si>
    <t>108/03/27-108/03/31</t>
  </si>
  <si>
    <t>在不準確資訊環境下的理性互動邏輯_107-2221-E-001-010-MY3</t>
  </si>
  <si>
    <t>科技部_P18022_在不準確資訊環境下的理性互動邏輯_MOST 107-2221-E-001-010 -MY3_IUKM 2019</t>
  </si>
  <si>
    <t>108/03/26-108/04/04</t>
  </si>
  <si>
    <t>奈良(Nara) 石川縣能美市</t>
  </si>
  <si>
    <t>具深度理解之對話系統及智慧型輔助學習機器人(2/5~5/5)(2/4)_108-2634-F-001-005-</t>
  </si>
  <si>
    <t>P19004_建構概念為本且具語義結合性的中文知識庫(1/4)_MOST108-2634-F-001-006_13th IEEE International Conference on Semantic Computing</t>
  </si>
  <si>
    <t>108/01/29-108/02/11</t>
  </si>
  <si>
    <t>Newport Beach</t>
  </si>
  <si>
    <t>供應鏈金融:大數據風險信 分析與智能合約眾籌監理 術應用-供應鏈金融隨機風險建模與決策支援(2/3)_MOST107-2218-E-468-003</t>
  </si>
  <si>
    <t>P18037_供應鏈金融:大數據風險信評分析與智能合約眾籌監理技術應用-供應鏈金融隨機風險建模與決策支援(2/3)_MOST107-2218-E-468-003_THE WEB CONFERENCE 2019</t>
  </si>
  <si>
    <t>108/05/12-108/05/19</t>
  </si>
  <si>
    <t>舊金山(San Francisco,California)</t>
  </si>
  <si>
    <t>自動化生成和驗證高效安全不洩漏旁通道資訊的密碼學程式_105-2221-E-001-014-MY3</t>
  </si>
  <si>
    <t>自動化生成和驗證高效安全不洩漏旁通道資訊的密碼學程式_371623_MOST105-2221-E-001-014-MY3_RWC 2019_Workshop on Post-Quantum Software</t>
  </si>
  <si>
    <t>108/01/08-108/01/14</t>
  </si>
  <si>
    <t>山景城 聖荷西(San Jose,California)</t>
  </si>
  <si>
    <t>DNA甲基化和其重置在植物生殖細胞發育上之角色（植茹）_107-2311-B-001-008</t>
  </si>
  <si>
    <t>受邀參加2019日台植物生物學國際研討會,並於會議中演講。</t>
  </si>
  <si>
    <t>108/03/14-108/03/17</t>
  </si>
  <si>
    <t>名古屋(Nagoya)</t>
  </si>
  <si>
    <t>以細胞膜為基礎的植物乾旱耐受訊息傳遞_105-2628-B-001-010-MY4</t>
  </si>
  <si>
    <t>赴日本名古屋大學出席《第60屆日本植物生理學會年會》與《2019日台植物生物學國際研討會》。3/13出席第60屆日本植物生理學會年會；3/14~3/16出席2019日台植物生物學國際研討會。</t>
  </si>
  <si>
    <t>108/03/12-108/03/17</t>
  </si>
  <si>
    <t>阿拉伯芥細胞中錳的平衡調節（植虎）_107-2311-B-001-009</t>
  </si>
  <si>
    <t>Japan-Taiwan Plant Biology 2019</t>
  </si>
  <si>
    <t>108/03/11-108/03/17</t>
  </si>
  <si>
    <t>108/03/09-108/03/17</t>
  </si>
  <si>
    <t>光促進阿拉伯芥轉譯作用的分子機制研究(5/5)(植幸)_107-2321-B-001-007</t>
  </si>
  <si>
    <t>參與2019日台植物生物學國際研討會（JTPB 2019）並發表論文</t>
  </si>
  <si>
    <t>108/03/13-108/03/21</t>
  </si>
  <si>
    <t>108/03/12-108/03/20</t>
  </si>
  <si>
    <t>2019日台植物生物學國際研討會 及 2019 植物後轉錄基因調控 奈良</t>
  </si>
  <si>
    <t>名古屋(Nagoya) 奈良(Nara)</t>
  </si>
  <si>
    <t>脂質可調控開花時間之研究_105-2628-B-001-006-MY3</t>
  </si>
  <si>
    <t>1) 參加日本植物生理學會年度會議（含會前會議） 2) 參加日本-台灣植物生物學會議</t>
  </si>
  <si>
    <t>磷酸肌酯訊息傳導參與內質網逆境反應_105-2628-B-001-007-MY3</t>
  </si>
  <si>
    <t>Attending Japan-Taiwan Plant Biology Conference and Post-transcriptional Gene Regulation in Plant Conference to present the poster and establish connection with experts in the fields.</t>
  </si>
  <si>
    <t>108/03/13-108/03/24</t>
  </si>
  <si>
    <t>磷酸膽鹼：調控植物維管束發育的一個新發現的訊息調節者(2/5)(植輝)_107-2628-B-001-001</t>
  </si>
  <si>
    <t>1) 參加日本植物生理學會年度會議 2) 參加2019年日本-台灣植物生物學會議</t>
  </si>
  <si>
    <t>108/03/12-108/03/19</t>
  </si>
  <si>
    <t>108/03/12-108/03/23</t>
  </si>
  <si>
    <t>調控早期胚胎發育與種子萌發基因的分子機制研究_105-2311-B-001-074-MY3</t>
  </si>
  <si>
    <t>計畫名稱:調控早期胚胎發育與種子萌發基因的分子機制研究 (：MOST 105-2311-B-001 -074 -MY3)。本次報告內容係本計劃項下執行的研究成果之一。</t>
  </si>
  <si>
    <t>108-2914-I-001-004-A1</t>
  </si>
  <si>
    <t>參與國際會議Japan-Taiwan Plant Biology 2019 (JTPB 2019)</t>
  </si>
  <si>
    <t>108/03/14-108/03/20</t>
  </si>
  <si>
    <t>後口動物身體特徵發育與演化機制之研究(3/5)_107-2321-B-001-017-</t>
  </si>
  <si>
    <t>108/05/14-108/05/18</t>
  </si>
  <si>
    <t>大阪(Osaka)</t>
  </si>
  <si>
    <t>農業生技研發成果鏈結產學合作計畫(2/3)_MOST108-2622-8-001-001-</t>
  </si>
  <si>
    <t>108/03/06-108/03/14</t>
  </si>
  <si>
    <t>紐奧良(New Orleans, Louisiana)</t>
  </si>
  <si>
    <t>組蛋白H2B泛素化在調節的DNA損傷容忍錯誤的功能_105-2320-B-001-023-MY3</t>
  </si>
  <si>
    <t>108/04/29-108/05/08</t>
  </si>
  <si>
    <t>海德堡(Heidelberg)</t>
  </si>
  <si>
    <t>研發標靶藥物傳輸系統於癌症治療及造影_107-2314-B-001-006-MY3</t>
  </si>
  <si>
    <t>108/03/28-108/04/13</t>
  </si>
  <si>
    <t>亞特蘭大(Atlanta,Georgia) 休士頓(Houston,Texas)</t>
  </si>
  <si>
    <t>嗅覺神經網路建構之分子機制研究_107-2311-B-001-006-</t>
  </si>
  <si>
    <t>魚類排酸功能的演化生理(1/5)_107-2321-B-001-030-</t>
  </si>
  <si>
    <t>108/01/22-108/01/27</t>
  </si>
  <si>
    <t>清奈(Chennai)</t>
  </si>
  <si>
    <t>GLUT10調控維生素C平衡影響發育及對外界環境反應的機制_107-2320-B-001-024-</t>
  </si>
  <si>
    <t>赴美國Lake Tahoe出席Keystone Symposium: Cell Competition in Development and Disease (B6)會議並發表論文</t>
  </si>
  <si>
    <t>108/02/22-108/03/04</t>
  </si>
  <si>
    <t>Lake Tahoe</t>
  </si>
  <si>
    <t>探討複雜組織再生過程中細胞動態和訊號調控的機制_106-2628-B-001-001-MY4</t>
  </si>
  <si>
    <t>108/01/12-108/01/18</t>
  </si>
  <si>
    <t>Monterey</t>
  </si>
  <si>
    <t>生殖幹細胞和其niche的建立_107-2311-B-001-004-MY3</t>
  </si>
  <si>
    <t>108/05/26-108/05/28</t>
  </si>
  <si>
    <t>首爾(Seoul)</t>
  </si>
  <si>
    <t>探討細胞自噬穿膜蛋白Atg9的分子調控機轉與在果蠅發育之角色_105-2311-B-001-062-MY3</t>
  </si>
  <si>
    <t>參加會議及張貼研究海報</t>
  </si>
  <si>
    <t>108/02/17-108/03/02</t>
  </si>
  <si>
    <t>新墨西哥州(New Mexico)</t>
  </si>
  <si>
    <t>食用真菌和病源細菌的多醣體之化學研究及其應用(1/3)_107-2113-M-001-031-</t>
  </si>
  <si>
    <t>前往菲律賓參加第二屆中研院與San Agustin Univeristy雙邊學術會議,於會議中發表研究成果</t>
  </si>
  <si>
    <t>108/04/28-108/05/03</t>
  </si>
  <si>
    <t>Iloilo</t>
  </si>
  <si>
    <t>受邀前往日本琉球科技研究所Okinawa Institute of Science and Technology進行雙邊研討會</t>
  </si>
  <si>
    <t>108/04/16-108/04/19</t>
  </si>
  <si>
    <t>參加菲律賓USA–Academia Sinica Bilateral Research Symposium</t>
  </si>
  <si>
    <t>以電子自旋共振光譜及定位自旋標記解構神秘的普立昂蛋白纖維結構(1/3)_107-2113-M-001-033-</t>
  </si>
  <si>
    <t>以電子自旋共振光譜及定位自旋標記解構神秘的普立昂蛋白纖維結構 到菲律賓Iloilo參與研討會擔任海報講者</t>
  </si>
  <si>
    <t>108/04/27-108/05/02</t>
  </si>
  <si>
    <t>怡朗市 (Iloilo)</t>
  </si>
  <si>
    <t>出席國際會議，發表相關研究成果</t>
  </si>
  <si>
    <t>怡朗</t>
  </si>
  <si>
    <t>WNT-FZD訊息路徑及SYDE1 RhoGAP調節滋養層細胞分化與移行_106-2311-B-001-013-MY3</t>
  </si>
  <si>
    <t>WNT-FZD訊息路徑調節滋養層細胞分化與移行：在胎盤發育期間，絨毛外滋養層細胞(EVTs)在母體-胎兒界面遇到蛻膜細胞，並且滋養層-蛻膜細胞相互作用參與EVTs遷移的調節。為了更佳瞭解調節滋養層細胞移行，我們探討WNT10B和SFRP3調節胎盤絨毛外滋養層細胞移行的機制。</t>
  </si>
  <si>
    <t>108/03/12-108/03/24</t>
  </si>
  <si>
    <t>利用光控遺傳學方法研究粒線體損傷反應機制_104-2628-B-001-001-MY4</t>
  </si>
  <si>
    <t>出席研討會並發表論文</t>
  </si>
  <si>
    <t>108/02/16-108/02/25</t>
  </si>
  <si>
    <t>聖塔菲 新墨西哥Santa Fe, NM</t>
  </si>
  <si>
    <t>參加Keystone Symposia (2/17-21) 及 AIM Center Annual Meeting &amp; Symposium (2/22)</t>
  </si>
  <si>
    <t>108/02/17-108/02/25</t>
  </si>
  <si>
    <t>國際圖像互通架構應用於數位人文學之研究：以簡牘字典為例_MOST 107-2410-H-001-096</t>
  </si>
  <si>
    <t>因執行科技部計畫「國際圖像互通架構應用於數位人文學之研究：以簡牘字典為例」需要，前往奈良文化財研究所，參加「「2018年度第三回國際檢討會」，並發表論文。</t>
  </si>
  <si>
    <t>108/03/18-108/03/21</t>
  </si>
  <si>
    <t>奈良(Nara)</t>
  </si>
  <si>
    <t>巴布亞新幾內亞Mussau群島Lapita陶器岩象分析_MOST 106-2410-H-001-023-MY2</t>
  </si>
  <si>
    <t>因執行科技部計畫「巴布亞新幾內亞Mussau群島Lapita陶器岩象分析」需要，前往美國新墨西哥州阿布奎基參加The Society for American Archaeology (SAA) 84th Annual Meeting ，並發表論文。</t>
  </si>
  <si>
    <t>108/04/08-108/04/16</t>
  </si>
  <si>
    <t>阿布奎基 (Albuquerque)</t>
  </si>
  <si>
    <t>唐宋之間醫療相關作品的論證策略變化_MOST 106-2410-H-001-101-MY3</t>
  </si>
  <si>
    <t>因執行科技部計畫「唐宋之間醫療相關作品的論證策略變化」需要，前往美國丹佛市參加The Association for Asian Studies 2019 Annual Conference，並發表論文。</t>
  </si>
  <si>
    <t>108/03/20-108/03/25</t>
  </si>
  <si>
    <t>丹佛(Denver,Colorado)</t>
  </si>
  <si>
    <t>Creative Comic Collection創作集漫畫人文期刊出版計畫III_</t>
  </si>
  <si>
    <t>前往日本千葉參與「NicoNico超會議2019」執行「Creative Comic Collection創作集數位體驗系列展－超台灣」展覽工作及至東京等地採訪漫畫家。</t>
  </si>
  <si>
    <t>108/04/24-108/05/01</t>
  </si>
  <si>
    <t>東京(Tokyo) 千葉</t>
  </si>
  <si>
    <t>108/04/24-108/04/30</t>
  </si>
  <si>
    <t>前往日本千葉參與「NicoNico超會議2019」執行「Creative Comic Collection創作集數位體驗系列展－超台灣」展覽工作，並至東京拜會台北駐日臺北駐日經濟文化代表處。</t>
  </si>
  <si>
    <t>108/04/25-108/04/29</t>
  </si>
  <si>
    <t>千葉</t>
  </si>
  <si>
    <t>Creative Comic Collection創作集漫畫人文期刊出版計畫II_</t>
  </si>
  <si>
    <t>前往參與2019年安古蘭國際漫畫節，除採訪臺灣館之外，也與參展的臺灣漫畫家合作安古蘭相關報導，採訪並取材其他國家漫畫，結合跨領域之形式，以供《Creative Comic Collection 創作集》特別報導使用。</t>
  </si>
  <si>
    <t>108/01/22-108/02/08</t>
  </si>
  <si>
    <t>安古蘭</t>
  </si>
  <si>
    <t>108/01/22-108/02/02</t>
  </si>
  <si>
    <t>成都平原十二橋文化時期金沙聚落之發展_MOST 106-2410-H-001-083-MY3</t>
  </si>
  <si>
    <t>因執行科技部計畫「成都平原十二橋文化時期金沙聚落之發展」需要，前往美國新墨西哥州阿布奎基參加The Society for American Archaeology (SAA) 84th Annual Meeting，並發表論文。</t>
  </si>
  <si>
    <t>108/04/09-108/04/16</t>
  </si>
  <si>
    <t>布奎基 (Albuquerque)</t>
  </si>
  <si>
    <t>參加The Society for American Archaeology (SAA) 84th Annual Meeting</t>
  </si>
  <si>
    <t>前往美國新墨西哥州阿布奎基，參加The Society for American Archaeology (SAA) 84th Annual Meeting，並發表論文。</t>
  </si>
  <si>
    <t>108/04/09-108/04/18</t>
  </si>
  <si>
    <t>阿布奎基(Albuquerque) 舊金山(San Francisco,California)</t>
  </si>
  <si>
    <t>科技部補助吳欣芳參與國際會議，補助編號108-2914-I-001-014-A1</t>
  </si>
  <si>
    <t>108/04/01-108/04/09</t>
  </si>
  <si>
    <t>Notre Dame</t>
  </si>
  <si>
    <t>當代夫妻之承諾、親密與忠貞：婚姻層級模型之建構與檢驗_107-2410-H-001-065-</t>
  </si>
  <si>
    <t>出席2019年亞洲心理學與行為科學國際學術研討會(ACP2019) 並發表論文一篇。</t>
  </si>
  <si>
    <t>臺灣高齡社會下的家庭歷程：正向轉化的探討-(總計畫暨子計畫九)外包孝道的可?鄍\能：以孝道雙元模型解?_105-2420-H-001-002-MY3</t>
  </si>
  <si>
    <t>為慶祝五四運動滿百年所舉辦之「新家族主義」研討會議，並發表「The Contemporary Evolution of Familism in Taiwan: From New Filial Piety to Subcontracting and Outsourcing Filial Piety」論文</t>
  </si>
  <si>
    <t>108/05/01-108/05/06</t>
  </si>
  <si>
    <t>洛杉磯(Los Angeles,California)</t>
  </si>
  <si>
    <t>基督教、現代性與男性氣概的變容：以菲律賓布卡洛(伊隆戈) 人為例的研究_106-2410-H-001-060-MY2</t>
  </si>
  <si>
    <t>參加國際會議發表計畫研究成果</t>
  </si>
  <si>
    <t>108/02/09-108/02/18</t>
  </si>
  <si>
    <t>奧克蘭(Auckland)</t>
  </si>
  <si>
    <t>文化抑或文物化？女書的文化政治與人類學反思_106-2410-H-001-041-MY2</t>
  </si>
  <si>
    <t>赴美國紐約州雪城大學參加 Stories We Are Told, Stories We Tell 研討會, 並前往博物館座實地考察，以瞭解本研究計畫之主題「文化語文物化」的課題</t>
  </si>
  <si>
    <t>108/02/23-108/03/04</t>
  </si>
  <si>
    <t>Syracuse, NY 紐約市(New York,New York) Ithaca, New York</t>
  </si>
  <si>
    <t>技術應用、生育率及經濟結構轉型之總體經濟分析_107-2410-H-001-110-</t>
  </si>
  <si>
    <t>赴日本東京參加國際西方經濟學會(WEAI)國際會議，再赴香港中文大學研究訪問。</t>
  </si>
  <si>
    <t>108/03/19-108/03/27</t>
  </si>
  <si>
    <t>日本(Japan) 中國大陸(China)</t>
  </si>
  <si>
    <t>東京(Tokyo) 香港(Hong Kong)</t>
  </si>
  <si>
    <t>租稅政策下的經濟穩定性、福利與所得分配_107-2410-H-001-032-MY3</t>
  </si>
  <si>
    <t>赴日本東京參加WEAI Conference</t>
  </si>
  <si>
    <t>研發、模仿、外溢效果與國際貿易_105-2410-H-001-001-MY3</t>
  </si>
  <si>
    <t>赴日本慶應大學參與15th WEAI International Conference並發表論文。</t>
  </si>
  <si>
    <t>差異性個人模型與公共政策_107-2410-H-001-030-MY3</t>
  </si>
  <si>
    <t>赴日本參加WEAI’s 15th International Conference並發表論文：Revisiting Optimal Steady-State Capital Taxation in Life-Cycle Economies</t>
  </si>
  <si>
    <t>108/03/21-108/03/25</t>
  </si>
  <si>
    <t>國家政經制度因素對經濟政策制定的影響：理論與實證_106-2410-H-001-104-MY2</t>
  </si>
  <si>
    <t>科技部計畫-"國家政經制度因素對經濟政策制定的影響:理論與實證"，1/2-1/9至美國亞特蘭大出席1/4-1/6國際學術會議"2019 ASSA Annual Meeting and CEANA Annual Conference"，並發表兩篇論文</t>
  </si>
  <si>
    <t>108/01/02-108/01/09</t>
  </si>
  <si>
    <t>網絡資料分析的近期發展與其於科研, 業界和政府的應用_107-2118-M-001-011-MY3</t>
  </si>
  <si>
    <t>受邀前往日本Tachikawa出席Research Metrics Workshop, 共順路訪問Institute of Statistical Mathematics.</t>
  </si>
  <si>
    <t>主動式學習和序貫(逐次)分析之研究及於巨量資料分析之應用2_106-2118-M-001-007-MY2</t>
  </si>
  <si>
    <t>發表研究成果，並與與會學者交換意見。</t>
  </si>
  <si>
    <t>108/04/21-108/04/27</t>
  </si>
  <si>
    <t>半乳糖凝集素在情境恐懼制約學習與記憶的角色及機制探討_106-2320-B-001-005-MY3</t>
  </si>
  <si>
    <t>於108年5月13日至5月15日，出席於日本大阪舉行的【BIT’s 10th Annual World Congress on Neurotalk- 2019】</t>
  </si>
  <si>
    <t>108/05/11-108/05/16</t>
  </si>
  <si>
    <t>以人體餵食試驗及世代巢式病例對照研究探討炸油產生之氧脂質和心臟血管疾病、大直腸癌風險以及和發炎相關細胞激素之關係(1/3)_MOST107-2320-B-001-001-MY3</t>
  </si>
  <si>
    <t>108年3月15日至3月16日，出席於韓國首爾舉行的【2019亞太地區心血管疾病預防大會】</t>
  </si>
  <si>
    <t>108/03/15-108/03/17</t>
  </si>
  <si>
    <t>新型雙重作用機制1,2-雙（羥甲基）口比咯並[2,1-a]酉太口秦雜化物之設計、合成、及抗腫瘤作用(1/3)_MOST107-2320-B-001-008</t>
  </si>
  <si>
    <t>108年3月29日至4月3日，出席於美國舉行的【美國癌症研究學會2019年年會】</t>
  </si>
  <si>
    <t>108/03/25-108/04/09</t>
  </si>
  <si>
    <t>探討CELF1對心臟之發育與功能的影響_MOST107-2320-B-001-022-</t>
  </si>
  <si>
    <t>108年5月9日至5月11日，出席於美國印第安納州舉行的【Weinstein心血管發育暨再生醫學會議】</t>
  </si>
  <si>
    <t>108/05/06-108/05/15</t>
  </si>
  <si>
    <t>印第亞波里市, 印第安那州</t>
  </si>
  <si>
    <t>IFIT1及IFIT3經活化Hsp90/EGFR調控口腔癌細胞對藥物的抗性及敏感性(1/3)_MOST107-2320-B-001-007-</t>
  </si>
  <si>
    <t>108/03/27-108/04/06</t>
  </si>
  <si>
    <t>探討CD44v6促進細胞移行/細胞侵犯及腫瘤轉移的機制_MOST107-2320-B-001-011-</t>
  </si>
  <si>
    <t>108年3月29日至4月3日，出席於美國舉行的【2019美國癌症研究學會年會】</t>
  </si>
  <si>
    <t>108/03/28-108/04/08</t>
  </si>
  <si>
    <t>探討CBAP蛋白在調控T細胞癌化過程扮演的角色_105-2320-B-001-012-MY3</t>
  </si>
  <si>
    <t>108年3月29日至4月3日，出席於美國亞特蘭大舉行的【美國癌症研究學會2019年年會】及休士頓舉行的【蔡院士退休研討會】</t>
  </si>
  <si>
    <t>108/03/28-108/04/05</t>
  </si>
  <si>
    <t>休士頓(Houston,Texas) 亞特蘭大(Atlanta,Georgia)</t>
  </si>
  <si>
    <t>設計新穎二維材料及其在能源上的應用_105-2119-M-001-040-MY3</t>
  </si>
  <si>
    <t>赴菲律賓參加34th Philippine Chemistry Congress (34th PCC)及受邀擔任Keynote speaker</t>
  </si>
  <si>
    <t>108/05/27-108/05/31</t>
  </si>
  <si>
    <t>建立一個全新/簡潔/有效的第一原理計算架構以了解分子結構與振動光譜_107-2628-M-001-002-MY4</t>
  </si>
  <si>
    <t>赴菲律賓參加34th Philippine Chemistry Congress (34th PCC)及受邀演講</t>
  </si>
  <si>
    <t>carbonyl oxide與水的反應速度理論計算(3/3)_107-2113-M-001-002-</t>
  </si>
  <si>
    <t>赴泰國參加第二屆台灣泰國越南理論計算化學會議及擔任籌備委員</t>
  </si>
  <si>
    <t>108/01/16-108/01/21</t>
  </si>
  <si>
    <t>Pathum Thani</t>
  </si>
  <si>
    <t>赴泰國參加第二屆台灣泰國越南理論計算化學會議及口頭報告</t>
  </si>
  <si>
    <t>赴泰國參加第二屆台灣泰國越南理論計算化學會議及口頭報告</t>
  </si>
  <si>
    <t>赴第二屆台灣泰國越南理論計算化學會議及口頭報告</t>
  </si>
  <si>
    <t>108/01/16-108/02/08</t>
  </si>
  <si>
    <t>生物細胞膜奈米結構與其功能性_105-2112-M-001-016-MY3</t>
  </si>
  <si>
    <t>108/02/01-108/02/05</t>
  </si>
  <si>
    <t>具時間與空間上操控性的胞外泌體和細胞基因編輯與表觀遺傳調控平台_106-2320-B-001-024-MY3</t>
  </si>
  <si>
    <t>108/04/23-108/05/02</t>
  </si>
  <si>
    <t>1. 赴日本沖繩石垣島參加A workshop on Theoretical Chemistry of Condensed Systems及受邀演講 2. 赴日本神戶參加The 99th Annual Meeting of the Chemical Society of Japan及受邀演講</t>
  </si>
  <si>
    <t>石垣島 京都(Kyoto) 神戶(Kobe)</t>
  </si>
  <si>
    <t>主纖毛的結構、功能與細胞力學傳感-研究中心粒及主纖毛的超高解析度顯微技術之發展與應用(1/3)_107-2313-B-001-009-</t>
  </si>
  <si>
    <t>參加於義大利威尼斯舉辦的國際生物醫學成像研討會，除了以poster發表論文，更進一步與會議中生物影像領域的人才交流,提升本實驗室超高解析度顯微技術之發展與應用</t>
  </si>
  <si>
    <t>108/04/07-108/04/14</t>
  </si>
  <si>
    <t>威尼斯(Venice)</t>
  </si>
  <si>
    <t>主纖毛訊息傳遞中膜蛋白之超高解析度動態分析_107-2112-M-001-037-</t>
  </si>
  <si>
    <t>參加於義大利威尼斯舉辦的國際生物醫學成像研討會</t>
  </si>
  <si>
    <t>赴印度新德里參加Workshop and Symposium on Advanced Simulation Methods: DFT, MD and Beyond及受邀演講</t>
  </si>
  <si>
    <t>108/02/28-108/03/10</t>
  </si>
  <si>
    <t>新德里(New Delhi)</t>
  </si>
  <si>
    <t>參加於美國巴爾的摩舉辦的第63屆生物物理學會年會</t>
  </si>
  <si>
    <t>108/02/19-108/03/06</t>
  </si>
  <si>
    <t>解構mir-34/449在運動神經元發育過程時所扮演身的角色_107-2311-B-001-043-</t>
  </si>
  <si>
    <t>參加新加坡舉行之「細胞會議: 單細胞生物技術探討」。</t>
  </si>
  <si>
    <t>108/02/24-108/02/27</t>
  </si>
  <si>
    <t>植物利用逆境訊息交集及表觀遺傳來適應環境逆境的分子機制(2/5)_107-2321-B-001-022-</t>
  </si>
  <si>
    <t>參加在日本名古屋市舉行之「2019日台植物生物學國際研討會暨日本植物生理學會」會議。</t>
  </si>
  <si>
    <t>108/03/10-108/03/17</t>
  </si>
  <si>
    <t>色質體蛋白選擇性運輸的機制(5/5)_107-2321-B-001-001-</t>
  </si>
  <si>
    <t>參加在日本名古屋舉行之｢2019台日植物學聯會｣。</t>
  </si>
  <si>
    <t>108/03/13-108/03/18</t>
  </si>
  <si>
    <t>硝酸鹽感應影響植物生理、植物發育、氮利用效率的整合研究_106-2923-B-001-001-MY3</t>
  </si>
  <si>
    <t>參加在日本名古屋市舉行之「2019日台植物生物學國際研討」會議。</t>
  </si>
  <si>
    <t>參加在日本愛知縣名古屋市舉行之「2019日台植物生物學國際研討會」。</t>
  </si>
  <si>
    <t>108/03/13-108/03/19</t>
  </si>
  <si>
    <t>線蟲捕捉菌辨識線蟲的分子機制_106-2311-B-001-039-MY3</t>
  </si>
  <si>
    <t>至美國太平洋叢林市參與｢2019第三十屆真菌遺傳會議｣。</t>
  </si>
  <si>
    <t>108/03/08-108/03/19</t>
  </si>
  <si>
    <t>Pacific Grove</t>
  </si>
  <si>
    <t>硝酸鹽感應動態變化的分子機制(5/5)_107-2321-B-001-002-</t>
  </si>
  <si>
    <t>參加在日本名古屋市舉行之「2019日台植物生物學國際研討會暨日本植物生理學會年會」。</t>
  </si>
  <si>
    <t>參加在日本名古屋市舉行之「2019日台植物生物學國際研討會」會議。</t>
  </si>
  <si>
    <t>參加在日本愛知縣名古屋市舉行之「2019 日台植物學國際研討會」會議。</t>
  </si>
  <si>
    <t>腸道表皮細胞介白素15之功能研究_105-2320-B-001-010-MY3</t>
  </si>
  <si>
    <t>參加在美國亞特蘭大(Atlanta)市舉行之｢美國癌症研究學會2019年會｣。</t>
  </si>
  <si>
    <t>mir-17~92在漸凍人疾病中影響特定運動神經元凋亡的機制_105-2321-B-001-068-MY3</t>
  </si>
  <si>
    <t>參加在南韓大田廣域市舉行之「Keystone symposia 會議：微小調控RNA」會議 。</t>
  </si>
  <si>
    <t>大田(Daejon)</t>
  </si>
  <si>
    <t>主纖毛的結構、功能與細胞力學傳感-用斑馬魚模式研究主纖毛蛋白的功能(1/3)_107-2313-B-001-011-</t>
  </si>
  <si>
    <t>參加在韓國首爾市舉行之「第8屆HP軸與性腺生物學會議」。</t>
  </si>
  <si>
    <t>108/05/25-108/06/02</t>
  </si>
  <si>
    <t>108/05/25-108/05/30</t>
  </si>
  <si>
    <t>使用動物模式研究類固醇的新功能(5/5)_107-2321-B-001-034-</t>
  </si>
  <si>
    <t>108/05/25-108/05/29</t>
  </si>
  <si>
    <t>參加在韓國首爾市舉行之「第8屆HP軸與性腺生物學會議｣。</t>
  </si>
  <si>
    <t>108/05/25-108/05/31</t>
  </si>
  <si>
    <t>發展本土促進植物生長之益生菌以綜合提升水稻之抗病及耐逆境能力-發展本土促進植物生長之益生菌以綜合提升水稻之抗病及耐逆境能_107-2321-B-001-037-</t>
  </si>
  <si>
    <t>108/05/09-108/05/19</t>
  </si>
  <si>
    <t>漢諾威(Hannover)</t>
  </si>
  <si>
    <t>應邀到美國加州Pacific Grove市參加｢第8屆斑馬魚學者會議｣。</t>
  </si>
  <si>
    <t>108/01/12-108/01/21</t>
  </si>
  <si>
    <t>藉特定改變淋巴細胞及骨髓性細胞HIF-1alpha及HIF-2alpha之表現量以調控自體免疫反應及抗癌免疫力(1/5)_107-2321-B-001-031-</t>
  </si>
  <si>
    <t>參加在奧地利蒂羅爾州塞弗爾德舉行之「3rd Midwinter Conference (MWC) Advances in Immunobiology」會議。</t>
  </si>
  <si>
    <t>108/01/16-108/02/01</t>
  </si>
  <si>
    <t>Seefeld in Tirol</t>
  </si>
  <si>
    <t>台大景康藥學基金會424331</t>
  </si>
  <si>
    <t>參加美國弗羅里達州Orlando舉行之｢2019實驗生物學會議｣。</t>
  </si>
  <si>
    <t>108/04/05-108/04/11</t>
  </si>
  <si>
    <t>奧蘭多(Orlando,Florida)</t>
  </si>
  <si>
    <t>高解析度氣候區域海洋環流模式系統之發展暨西北太平洋海域環流及水文百年尺度變化與動力機制之數值研究_107-2611-M-001-007-</t>
  </si>
  <si>
    <t>參加Japan Geoscience Union Meeting 2019 (JpGU meeting 2019)，並發表研究成果</t>
  </si>
  <si>
    <t>千葉縣Chiba</t>
  </si>
  <si>
    <t>WCRP/CMIP6跨國國際氣候推估模式比對計畫-氣候變遷研究聯盟II (3/3)-子計畫：輻射傳遞模組中氣體吸收參數法之改進_107-2119-M-001-011-</t>
  </si>
  <si>
    <t>參加會議並發表研究成果</t>
  </si>
  <si>
    <t>108/05/21-108/05/24</t>
  </si>
  <si>
    <t>濟州(Cheju)</t>
  </si>
  <si>
    <t>台灣巨型城市環境研究III-都市空氣污染與低雲及霧霾之物理化學交互作用-子計畫：發展三維空間採樣及觀測平台以及應用其於探索空氣污染與低雲及霧霾之物理化學特徵(第三年)_107-2111-M-001-002-</t>
  </si>
  <si>
    <t>發展三維空間採樣及觀測平台以及應用其於探索空氣污染與低雲及霧霾之物理化學特徵</t>
  </si>
  <si>
    <t>亞洲大氣污染物之整合監測與其對環境及氣候之衝擊研究－子計畫：以衛星資料驗證東亞排放量並以模式擬探討氣膠與雲的交互作用對氣_107-2111-M-001-011-</t>
  </si>
  <si>
    <t>參加日本地球惑星科學聯合2019年大會Japan Geoscience Union Meeting 2019 (JpGU 2019)年度研討會並發表海報「Quantifying PM2.5 from long-range transport and local pollution in Taiwan during winter monsoon」。</t>
  </si>
  <si>
    <t>Chiba</t>
  </si>
  <si>
    <t>建置臺灣熱預警之科學實證研究-建置臺灣熱預警之科學實證研究_107-2621-M-001-003-</t>
  </si>
  <si>
    <t>參加第23屆IUHPE世界健康促進研討會為全球重要健康促進國際研討會，發表研究成果</t>
  </si>
  <si>
    <t>108/04/03-108/04/13</t>
  </si>
  <si>
    <t>羅托路亞</t>
  </si>
  <si>
    <t>台灣巨型城市環境研究(III)-都市空氣污染與低雲及霧霾之物理化學交互作用_105-2111-M-001-005-MY3</t>
  </si>
  <si>
    <t>Attending EGU General Assembly 2019 and present " Chemical composition of PM10 and PM2.5 observed at the Cape Fuguei, Taiwan during the period of EMeRGe-Asia."</t>
  </si>
  <si>
    <t>108/04/06-108/04/15</t>
  </si>
  <si>
    <t>台灣紅楠賀爾蒙調控蟲癭形態之研究_107-2311-B-001-017-</t>
  </si>
  <si>
    <t>參加第60屆日本植物生理學年會暨日台植物生物學研討會，發表本實驗室關於水稻突變株葉綠素b崩解路徑最新研究進展。</t>
  </si>
  <si>
    <t>參加第60屆日本植物生理學年會暨日台植物生物學研討會，發表關於葉綠素酶定位之最新研究進展。</t>
  </si>
  <si>
    <t>參加第60屆日本植物生理學年會暨日台植物生物學研討會，發表本實驗室關於葉綠素代謝路徑最新研究進展。</t>
  </si>
  <si>
    <t>參加第60屆日本植物生理學年會暨日台植物生物學研討會，發表關於蟲癭賀爾蒙相關訊息傳遞最新研究進展。</t>
  </si>
  <si>
    <t>108/03/12-108/03/18</t>
  </si>
  <si>
    <t>木層孔菌之比較及群體基因體和轉錄體研究_105-2628-B-001-002-MY3</t>
  </si>
  <si>
    <t>中研院與OIST雙邊交流會議</t>
  </si>
  <si>
    <t>108/04/16-108/04/20</t>
  </si>
  <si>
    <t>沖繩縣</t>
  </si>
  <si>
    <t>日本Okinawa institute of Science and Technology Graduate University (OIST) 與中央研究院合辦Chemical Biology and Biological Chemistry Genomics and Omics雙邊研討會，會針對生物化學以及生物基因體學探討。</t>
  </si>
  <si>
    <t>沖繩縣國頭郡</t>
  </si>
  <si>
    <t>獎助院內人員短期赴國外學術研究機構合作研究試行計劃。將積極參與此會議討論主題，尤其四大主軸之一為基因體演化，將大幅了解目前的真菌基因體及轉錄體。其他主軸包括發育及環境關係能應用於本身研究，藉此機會與真菌專家請益，了解台灣真菌研究的優勢。</t>
  </si>
  <si>
    <t>108/03/12-108/03/22</t>
  </si>
  <si>
    <t>Pacific Grove (太平洋叢林)</t>
  </si>
  <si>
    <t>台灣生物多樣性資訊國家入口網(TaiBIF)系統更新開發及促進我國生物多樣 性資訊學發展(105-108)_105-2621-B-001-002-MY3</t>
  </si>
  <si>
    <t>以全球生物多樣性資訊機構（GBIF）亞洲節點代表身分，出席2/7-8於丹麥哥本哈根舉辦之GBIF期中會議。</t>
  </si>
  <si>
    <t>108/02/02-108/02/14</t>
  </si>
  <si>
    <t>丹麥(Denmark)</t>
  </si>
  <si>
    <t>哥本哈根(Copenhagen)</t>
  </si>
  <si>
    <t>107年度(第56屆)補助科學與技術人員國外短期研究--赴美國聖地牙哥加利福尼亞大學進行短期研究與進修--補助編號 107-2918-I-001-005</t>
  </si>
  <si>
    <t>預測微生物網路及利用發酵食物系統驗證</t>
  </si>
  <si>
    <t>107/01/13-108/01/16</t>
  </si>
  <si>
    <t>重新標定史賓諾沙：想像的問題化_MOST 104-2410-H-001-084-MY3</t>
  </si>
  <si>
    <t>赴法國狄戎（Dijon）參加國際會議,發表論文,並赴巴黎蒐集資料。</t>
  </si>
  <si>
    <t>108/04/01-108/04/08</t>
  </si>
  <si>
    <t>狄戎（Dijon） 巴黎(Paris)</t>
  </si>
  <si>
    <t>銀河系中心的動力學_105-2112-M-001-025-MY3</t>
  </si>
  <si>
    <t>赴日本東京國立天文台(NAOJ)出席研討會議，並演講。</t>
  </si>
  <si>
    <t>108/02/26-108/03/01</t>
  </si>
  <si>
    <t>深入探究星系及所處暗物質暈之關聯_105-2112-M-001-028-MY3</t>
  </si>
  <si>
    <t>受邀赴日本東京國立天文台(NAOJ)出席會議，並演講。</t>
  </si>
  <si>
    <t>108/01/30-108/02/02</t>
  </si>
  <si>
    <t>超新星輻射轉移之理論模型_107-2112-M-001-044-MY3</t>
  </si>
  <si>
    <t>受邀赴美國科羅拉多州亞斯本(Aspen)出席會議，並演講。</t>
  </si>
  <si>
    <t>亞斯本(Aspen, Colorado)</t>
  </si>
  <si>
    <t>透過星系演化的數值模擬探索宇宙塵埃的起源_105-2112-M-001-027-MY3</t>
  </si>
  <si>
    <t>赴日本橫濱神奈川大學參與Square Kilometre Array(SKA)計畫相關學術研究，後赴東京法政大學出席研討會議，並發表論文。</t>
  </si>
  <si>
    <t>108/03/07-108/03/19</t>
  </si>
  <si>
    <t>東京(Tokyo) 橫濱(Yokohama)</t>
  </si>
  <si>
    <t>藉由ALMA拓展星系中恆星形成與星系核活動的新視野: 3_107-2119-M-001-022-</t>
  </si>
  <si>
    <t>赴日本東京法政大學出席會議，並發表論文。</t>
  </si>
  <si>
    <t>星系中抑制恆星形成機制之全方位探討_107-2119-M-001-024-</t>
  </si>
  <si>
    <t>赴日本東京大學柏市(Kashiwa)校區之Kavli IPMU機構及英國牛津出席會議，並發表論文。</t>
  </si>
  <si>
    <t>108/03/24-108/04/05</t>
  </si>
  <si>
    <t>日本(Japan) 英國(United Kingdom)</t>
  </si>
  <si>
    <t>柏市(Kashiwa) 牛津(Oxford)</t>
  </si>
  <si>
    <t>赴英國牛津出席會議，並發表論文。</t>
  </si>
  <si>
    <t>108/03/30-108/04/06</t>
  </si>
  <si>
    <t>牛津(Oxford)</t>
  </si>
  <si>
    <t>從原恆星核至原恆星盤塵埃之分佈與顆粒成長_108-2112-M-001-002-MY3</t>
  </si>
  <si>
    <t>赴日本東京國立天文台(NAOJ)進行學術研究，並出席會議、發表論文。</t>
  </si>
  <si>
    <t>108/03/21-108/03/30</t>
  </si>
  <si>
    <t>以多波段觀測研究恆星與行星形成(VI)_106-2119-M-001-026-MY3</t>
  </si>
  <si>
    <t>赴南韓大田出席會議，並發表論文。</t>
  </si>
  <si>
    <t>108/01/16-108/01/18</t>
  </si>
  <si>
    <t>對活躍星系核內星系演化的現場調查 (II)_107-2119-M-001-026-</t>
  </si>
  <si>
    <t>受邀赴南韓大田出席會議，並演講。</t>
  </si>
  <si>
    <t>108/01/15-108/01/19</t>
  </si>
  <si>
    <t>受邀赴印度班加羅爾International Centre for Theoretical Sciences(ICTS)參與COSMOLOGY - THE NEXT DECADE研討會議，並發表論文。</t>
  </si>
  <si>
    <t>邦加羅爾(Bangalore)</t>
  </si>
  <si>
    <t>Atacama大型毫米/次毫米波陣列(ALMA)-臺灣計畫(3/3)_107-2119-M-001-041-</t>
  </si>
  <si>
    <t>赴日本鹿兒島大學出席研討會議、發表論文，並協同與會學者進行學術交流。</t>
  </si>
  <si>
    <t>108/01/12-108/01/16</t>
  </si>
  <si>
    <t>鹿兒島(Kagoshima)</t>
  </si>
  <si>
    <t>108/01/15-108/01/18</t>
  </si>
  <si>
    <t>探測低質量恒星形成的最早期階段（三）_107-2119-M-001-029-</t>
  </si>
  <si>
    <t>尋找活躍星系核之流入及回饋機制_107-2119-M-001-020-</t>
  </si>
  <si>
    <t>赴印度新德里出席會議並發表論文。</t>
  </si>
  <si>
    <t>108/03/09-108/03/15</t>
  </si>
  <si>
    <t>台灣地區社會變遷基本調查研究-台灣地區社會變遷基本調查研究第七期(IV-V)_107-2420-H-001-003-SS2</t>
  </si>
  <si>
    <t>此次會議將與全世界40多個會員國討論ISSP2020年的問卷內容與確定ISSP2021年的調查主題等相關事務。另外將代表台灣參加ISSP2020問卷起草小組，同時也是ISSP方法委員會的成員之一，參與ISSP2020問卷與方法委員會的小組會議。</t>
  </si>
  <si>
    <t>108/04/26-108/05/03</t>
  </si>
  <si>
    <t>Jaipur、新德里、亞格拉</t>
  </si>
  <si>
    <t>為本所科技部「台灣社會變遷基本調查計畫」協同研究人員，赴 Jaipur、新德里、亞格拉, India參加國際社會調查計畫（International Social Survey Programme, 簡稱ISSP）召開之年會，</t>
  </si>
  <si>
    <t>正常老化與原發漸進性失語症的神經與語言缺損_105-2410-H-001-102-MY3</t>
  </si>
  <si>
    <t>出席國際會議，並於會中發表論文</t>
  </si>
  <si>
    <t>108/04/18-108/04/25</t>
  </si>
  <si>
    <t>阿拉伯聯合大公國(United Arab Emirates)</t>
  </si>
  <si>
    <t>阿布達比(Abu Dhabi)</t>
  </si>
  <si>
    <t>臺灣原住民語言詞類及構詞研究與教學相關議題之探討-魯凱語、卡那卡那富語、?羃y及布農語詞類及構詞研?_106-2420-H-001-009-MY2</t>
  </si>
  <si>
    <t>參與Journées jeunes chercheurs en études taïwanaises研討會並發表論文</t>
  </si>
  <si>
    <t>108/04/02-108/04/13</t>
  </si>
  <si>
    <t>里昂(Lyon)</t>
  </si>
  <si>
    <t>跨生命週期的動態語言理解神經補償機制-老化對語言?z解歷程中線索使用能力之?v響及其神經補償機制_106-2420-H-001-005-MY2</t>
  </si>
  <si>
    <t>108/04/19-108/05/04</t>
  </si>
  <si>
    <t>甲硫胺酸硫氧化物還原(酉+每)B衍生的短胜(月+太)鏈功能性的研究_107-2311-B-001-013-MY3</t>
  </si>
  <si>
    <t>參加第六十屆日本植物生理學會與日本台灣聯合植物學會發表演講及作學術交流</t>
  </si>
  <si>
    <t>出國計畫為甲硫胺酸氧化物還原酶B衍生的短胜肽鏈功能性的研究 參加2019日台植物生理研討會,透過會議演講來增進植物生理研究的新知,並藉由研究海報的報告來分享目前研究成果,與討論中獲得研究上的建議,以期有新的突破.</t>
  </si>
  <si>
    <t>108/03/13-108/03/17</t>
  </si>
  <si>
    <t>探討二個A20/AN1 結構域蛋白質在蘭花免疫調節反應的角色_105-2313-B-001-004-MY3</t>
  </si>
  <si>
    <t>為交流研究心得及接軌國際植物學，擬於2019年3月13日至17日至日本名古屋參加 Japan-Taiwan Plant Biology 2019 (JTPB 2019) 研討會，並發表壁報論文Plant A20/AN1 protein play an important role in SA-mediated antiviral immunity。</t>
  </si>
  <si>
    <t>缺鐵對花粉發育的細胞和分子效應_107-2311-B-001-011-MY3</t>
  </si>
  <si>
    <t>缺鐵對花粉發育的細胞和分子效應，缺鐵導致花藥的粒線體活性下降和形態改變，進而影響絨氈層細胞和花粉發育過程，最終導致花粉活性的喪失。</t>
  </si>
  <si>
    <t>108/03/07-108/03/17</t>
  </si>
  <si>
    <t>以色列(Israel)</t>
  </si>
  <si>
    <t>Ein Gedi</t>
  </si>
  <si>
    <t>22-nt微核醣核酸轉譯抑制之研究_106-2311-B-001-018-MY3</t>
  </si>
  <si>
    <t>參加於美國加州聖地牙哥舉辦的第27屆植物與動物基因體會議 (Plant &amp; Animal Genome Conference)，並在研討會發表口頭演講。</t>
  </si>
  <si>
    <t>108/01/10-108/01/18</t>
  </si>
  <si>
    <t>利用系統性生物學方法調查和鑑定蝴蝶蘭擬原球體內抑制微生物病原菌的物質_MOST106-2313-B-001-004-MY3</t>
  </si>
  <si>
    <t>本次國際會議將提供我們實驗室分享及討論蘭花研究。更重要的是藉由發表壁報論文提出以基礎研究為基石，探討以蝴蝶蘭擬原球體發展抑制微生物病原菌的可能性。</t>
  </si>
  <si>
    <t>轉譯調控機制對植物在逆境下基因表現之影響_MOST106-2311-B-001-025-MY2</t>
  </si>
  <si>
    <t>參加2019日台植物生物學國際研討會及張貼研究成果海報</t>
  </si>
  <si>
    <t>108/03/13-108/03/20</t>
  </si>
  <si>
    <t>參與2019日台植物生物學國際研討會並進行論文海報發表</t>
  </si>
  <si>
    <t>銨基鹽對植物之營養物攝取運送與感應訊息傳導及利用的角色分析_106-2311-B-001-037-MY3</t>
  </si>
  <si>
    <t>收大會邀約於會議中擔任演講者，分享近期研究計畫與成果，同時間，進行國際學術交流與研究新知探討。</t>
  </si>
  <si>
    <t>從系統基因體探討花椰菜於高溫下花芽生長的調控機制_MOST 106-2313-B-001-012-MY2</t>
  </si>
  <si>
    <t>展示花椰菜研究有關的工作海報，參與研討會中，植物育種尤其是十字花科相關的演講</t>
  </si>
  <si>
    <t>尖端強化拉曼光譜學在電子穿隧範圍內之奈米解析度及藉由電漿子玻塞爾效應對螢光放射時間的操控_105-2221-E-001-021-MY3</t>
  </si>
  <si>
    <t>參加SPIE Photonics West 2019並發表poster</t>
  </si>
  <si>
    <t>108/02/03-108/02/08</t>
  </si>
  <si>
    <t>電控電漿子陶瓷材料奈米系統之開發與其超快載子動力學研究_106-2112-M-001-036-MY3</t>
  </si>
  <si>
    <t>本研究於可電控陶瓷材料氮化鈦特性和表面電漿子模態進行結合，藉此研究不同奈米結構下電控氮化鈦的濾色功能，此將有潛力應用於超高畫質顯示技術，且氮化鈦為非常穩定的材料，可藉由調變不同製程有不同程度的金屬特性，可用來取代貴金屬以降低成本。</t>
  </si>
  <si>
    <t>108/01/31-108/02/18</t>
  </si>
  <si>
    <t>介觀尺度自組裝結構之多尺度模擬_105-2112-M-001-009-MY3</t>
  </si>
  <si>
    <t>前往巴拿馬參加International Conference on Plasticity, Damage &amp; Fracture 2019並發表邀請演講</t>
  </si>
  <si>
    <t>巴拿馬(Panama)</t>
  </si>
  <si>
    <t>巴拿馬市(Panama City)</t>
  </si>
  <si>
    <t>同時由強飛秒雷射照射納米膠體水溶液散發出來之X光以及THz光_107-2112-M-001-014-MY3</t>
  </si>
  <si>
    <t>應邀赴希臘參加“15th International Conference of Computational Methods in Sciences and Engineering”國際會議並的主要研討會”5th Computational Chemistry (CC) Symposium”擔任Invited Speaker。</t>
  </si>
  <si>
    <t>108/04/28-108/05/08</t>
  </si>
  <si>
    <t>Rhodos</t>
  </si>
  <si>
    <t>有機奈米精準醫學平台:快速分離循環腫瘤細胞與個人化藥物篩選(2/3)_107-2119-M-001-007-</t>
  </si>
  <si>
    <t>出席歐洲材料年會</t>
  </si>
  <si>
    <t>108/05/24-108/06/02</t>
  </si>
  <si>
    <t>尼斯(Nice)</t>
  </si>
  <si>
    <t>利用表面電漿子增進深紫外光半導體量子井之載子再複合機制之研究_106-2112-M-001-002-MY3</t>
  </si>
  <si>
    <t>参加The 9th International Conference on Surface Plasmon Photonics,並發表論文</t>
  </si>
  <si>
    <t>參加2019年西岸光子學會議並發表論文</t>
  </si>
  <si>
    <t>108/02/02-108/02/08</t>
  </si>
  <si>
    <t>臺美國合計畫-基於奈米光子技術之量子輻射操控_107-2923-M-001-010-MY3</t>
  </si>
  <si>
    <t>參加2019 SPIE photonics west國際會議並給邀請演講</t>
  </si>
  <si>
    <t>108/02/01-108/02/09</t>
  </si>
  <si>
    <t>利用二維過渡金屬硫化物原子層中之表面電漿子效應來研發先進微小光源及奈米雷射_105-2112-M-001-011-MY3</t>
  </si>
  <si>
    <t>參加2019 Conference on Lasers and Electro-Optics (2019 CLEO)並發表論文</t>
  </si>
  <si>
    <t>108/05/05-108/05/12</t>
  </si>
  <si>
    <t>聖荷西(San Jose,California)</t>
  </si>
  <si>
    <t>細胞間通訊在外部物理刺激下的調控研究_106-2112-M-001-028-MY3</t>
  </si>
  <si>
    <t>赴英國參加Focus on Microscopy 2019國際會議並發表研究成果。</t>
  </si>
  <si>
    <t>108/04/12-108/04/25</t>
  </si>
  <si>
    <t>赴日本參加The 66th Japan Society of Applied Physics (JSAP) Spring Meeting, 2019及International Workshop on Integration of Nanooptics &amp; Nanophotonics研討會</t>
  </si>
  <si>
    <t>108/03/08-108/03/16</t>
  </si>
  <si>
    <t>以三維多空間尺度方式操作及影像學技術來研究腫瘤微環境內的細胞互動機制-以光片顯微鏡剖析在腫瘤微環境中細胞相互作用的多尺度動態(子計畫二)(3/3)_107-2627-M-001-002-</t>
  </si>
  <si>
    <t>參加2019國際光學與光子學大會(OPTICS &amp; PHOTONICS International Congress 2019, OPIC2019)，將在此會議作口頭發表(Oral presentation)。</t>
  </si>
  <si>
    <t>108/04/20-108/04/29</t>
  </si>
  <si>
    <t>橫濱(Yokohama)</t>
  </si>
  <si>
    <t>出席美國分子醫學會議</t>
  </si>
  <si>
    <t>108/03/10-108/03/16</t>
  </si>
  <si>
    <t>具環境敏感特性物質的研究(2/3)_107-2113-M-001-005-</t>
  </si>
  <si>
    <t>參加學術研討會</t>
  </si>
  <si>
    <t>108/03/29-108/04/09</t>
  </si>
  <si>
    <t>納米結構的理論和實驗研究的基礎上GaSb-Si為熱電轉換的目的_106-2923-M-001-002-MY3</t>
  </si>
  <si>
    <t>赴法國參加2nd International Conference on Materials Science and Engineering會議並發表口說演講</t>
  </si>
  <si>
    <t>108/02/24-108/02/28</t>
  </si>
  <si>
    <t>運用量子力學分子力學混合式動力學模擬對金屬蛋白配體系統進行統計力學為基礎的自由能計算_107-2112-M-001-038-</t>
  </si>
  <si>
    <t>To attend 63rd Annual Meeting of the Biophysical Society, U.S.A. at Baltimore (MD).</t>
  </si>
  <si>
    <t>108/02/28-108/03/09</t>
  </si>
  <si>
    <t>巴爾的摩(Baltimore,Maryland)</t>
  </si>
  <si>
    <t>參與2019年CLEO國際會議-Conference on Lasers and Electro-Optics 2019，並將發表論文</t>
  </si>
  <si>
    <t>108/05/02-108/05/17</t>
  </si>
  <si>
    <t>108-2914-I-001-002-A1</t>
  </si>
  <si>
    <t>參加國際會議: SPIE OPTO Symposium, part of SPIE Photonics West 2019, in San Francisco, California, United States.</t>
  </si>
  <si>
    <t>行政規則與國會制衡之跨國分析：理論、資料蒐集、與經驗分析_105-2628-H-001-002-MY3</t>
  </si>
  <si>
    <t>出席國際研討會發表於計畫有關之論文</t>
  </si>
  <si>
    <t>108/01/04-108/01/08</t>
  </si>
  <si>
    <t>間歇性極權主義與中共維穩策略的操作：以「非正常信訪」的處置為例_107-2410-H-001-073-MY2</t>
  </si>
  <si>
    <t>中共宣傳模式與政權存續</t>
  </si>
  <si>
    <t>108/01/25-108/01/27</t>
  </si>
  <si>
    <t>中國印象調查研究，2016-2019_105-2410-H-001-021-SS3</t>
  </si>
  <si>
    <t>該國際研討會不僅是美國政治學學門重大學會之一，同時也是國際性的指標會議，每年吸引上萬位各國學術先進、專家學者，以及碩博士生參與。</t>
  </si>
  <si>
    <t>芝加哥(Chicago,Illinois)</t>
  </si>
  <si>
    <t>政權類型與結構性改革推動_107-2410-H-001-079-</t>
  </si>
  <si>
    <t>參加Asian Democracy Research Network Malaysia workshop，報告包括台灣在內的東亞新興民主國家，近年來populism的興起、內容與演變，以及對於民主運作的可能影響。</t>
  </si>
  <si>
    <t>108/04/02-108/04/05</t>
  </si>
  <si>
    <t>馬來西亞(Malaysia)</t>
  </si>
  <si>
    <t>吉隆坡(Kuala Lumpur)</t>
  </si>
  <si>
    <t>發展用於針對T細胞免疫療法的抗體治癌藥物_107-2320-B-001-017-</t>
  </si>
  <si>
    <t>發表研究成果</t>
  </si>
  <si>
    <t>108/04/07-108/04/13</t>
  </si>
  <si>
    <t>Breckenridge</t>
  </si>
  <si>
    <t>胰臟癌:發生與轉移-解析果糖誘發之代謝體重編程在促進胰臟癌轉移的角色(子計畫3)(2/5)_107-2321-B-001-024-</t>
  </si>
  <si>
    <t>參加Keystone Symposia-Cancer Metastasis: The Role of Metabolism, Immunity and the Microenvironment國際會議</t>
  </si>
  <si>
    <t>108/03/14-108/03/22</t>
  </si>
  <si>
    <t>佛羅倫斯(Florence)</t>
  </si>
  <si>
    <t>優秀青年學子赴史丹佛大學海外蹲點試辦計畫_106303</t>
  </si>
  <si>
    <t>計畫主持人洽談並協調蹲點事宜</t>
  </si>
  <si>
    <t>107/12/05-108/02/11</t>
  </si>
  <si>
    <t>史丹佛(Stanford,California)</t>
  </si>
  <si>
    <t>多樣導向合成細胞表面葡胺聚醣以定義醣與不同蛋白之結構和活性的關係(3/5)_107-2745-M-001-001-ASP</t>
  </si>
  <si>
    <t>出席"The 2019 Canadian Glycomics Symposium "並張貼學術壁報論文</t>
  </si>
  <si>
    <t>108/05/11-108/05/20</t>
  </si>
  <si>
    <t>加拿大(Canada)</t>
  </si>
  <si>
    <t>班夫(Banff)</t>
  </si>
  <si>
    <t>鑑定有聯化合物的抗癌功效及在癌症治療可篩選病患的生物標誌物_28T-1070222-1C</t>
  </si>
  <si>
    <t>美國奧蘭多舉行的「EB 2019 Experimental Biology Meeting」國際會議，收集最新臨床轉譯醫學研究成果，將有助於提升計畫成效</t>
  </si>
  <si>
    <t>108/04/05-108/04/12</t>
  </si>
  <si>
    <t>Viral, Host and Environmental Determinants of Influenza Virus Transmission and Pathogenesis_28A-981130-2Cc</t>
  </si>
  <si>
    <t>赴美國聖地牙哥參加2019 Peptalk:The Protein Science Week 國際會議。</t>
  </si>
  <si>
    <t>108/01/13-108/01/21</t>
  </si>
  <si>
    <t>合成Globo系列癌症相關抗原醣分子衍生物用於癌症疫苗及抗體的製備_107-2113-M-001-026-MY3</t>
  </si>
  <si>
    <t>發表與計畫相關的論文</t>
  </si>
  <si>
    <t>108/05/18-108/05/25</t>
  </si>
  <si>
    <t>土魯斯(Toulouse)</t>
  </si>
  <si>
    <t>醛縮?A非酵素功能引起肺癌細胞幹細胞化及化療抗藥性之分子機轉探討_107-2320-B-001-016-MY3</t>
  </si>
  <si>
    <t>2019 ACCR 與 EB 會議。主病理、藥學與生物醫學等研究之研討會，兩者皆為美國最重要之病理年會，集合各界科學家與研究人員參與分享最新研究訊息。</t>
  </si>
  <si>
    <t>108/03/28-108/04/12</t>
  </si>
  <si>
    <t>亞特蘭大(Atlanta,Georgia) 奧蘭多(Orlando,Florida)</t>
  </si>
  <si>
    <t>鑑定有聯化合物的抗癌功效及在癌症治療可篩選病患的生物標誌物 測試公司之化合物於動物腫瘤模式中的功效及副作用</t>
  </si>
  <si>
    <t>108/04/04-108/04/12</t>
  </si>
  <si>
    <t>參與計畫執行，並攜成果至會議發表</t>
  </si>
  <si>
    <t>鑑定有聯化合物的抗癌功效及在癌症治療可篩選病患的聲物標誌物 本研究主要是發現在肺癌EMT過程中，會增加代謝基因CHST11表現促進肺癌惡性程度</t>
  </si>
  <si>
    <t>有聯生物標誌物研究交流 目的為去2019EB meeting會議上尋找有聯的化合物是否有新的機制</t>
  </si>
  <si>
    <t>鑑定對抗在神經退化疾病中有毒TDP-43寡聚體之單株抗體_NHRI-EX108-10628NI</t>
  </si>
  <si>
    <t>森病和其他相關神經退行性疾病的機制和改善治療方法該會議處於揭示阿爾茨海默氏症，帕金的最前沿。 AD / PDTM會議在一個環境中獨特地結合了不同的神經退行性疾病，並檢查它們的相似點和不同點; 重點是疾病，預防和治療的機制。</t>
  </si>
  <si>
    <t>108/03/25-108/04/07</t>
  </si>
  <si>
    <t>葡萄牙(Portugal)</t>
  </si>
  <si>
    <t>里斯本(Lisbon)</t>
  </si>
  <si>
    <t>MOST國內專家學者出席國際會議 Experimental Biology 2019</t>
  </si>
  <si>
    <t>MOST國內專家學者出席國際會議 Experimental Biology 2019 本研究主要是發現在肺癌EMT過程中，會增加代謝基因CHST11表現促進肺癌惡性程度</t>
  </si>
  <si>
    <t>Experimental Biology 2019</t>
  </si>
  <si>
    <t>補助基因體研究中心賴宗慶博士後擬於108年4月赴美國奧蘭多參加Experimental biology 2019 108-2914-I-001-009-A1</t>
  </si>
  <si>
    <t>建構與運用都市原住民生活發展基礎資料庫_</t>
  </si>
  <si>
    <t>參加GOR19會議並發表論文，參加DGOF會員會議及進行學術交流。</t>
  </si>
  <si>
    <t>108/03/03-108/03/13</t>
  </si>
  <si>
    <t>科隆(Cologne)</t>
  </si>
  <si>
    <t>宿舍的電力使用:自然實驗與田野實驗_107-2410-H-001-024-SS2</t>
  </si>
  <si>
    <t>參加AEA及ASSA2019年聯合年會並發表海報論文。</t>
  </si>
  <si>
    <t>108/01/01-108/01/08</t>
  </si>
  <si>
    <t>兩個跨領域實證研究：誘標行為與司法官生涯_106-2410-H-001-009-MY3</t>
  </si>
  <si>
    <t>參加「Journées Louis-André Gérard-Varet 2019」會議並發表論文。</t>
  </si>
  <si>
    <t>108/06/11-108/06/21</t>
  </si>
  <si>
    <t>艾克斯普羅旺斯(Aix-en-Provence)</t>
  </si>
  <si>
    <t>運用手機大數據探索行為人口之空間分布_107-2119-M-001-045-</t>
  </si>
  <si>
    <t>108/04/03-108/04/08</t>
  </si>
  <si>
    <t>國會議席分配與選區劃分的法與政治_107-2410-H-001-038-MY2</t>
  </si>
  <si>
    <t>以多模式大數據分析與分散式區塊鏈運算開發智慧型店頭市場交易與機器人理財系統(2/3)_MOST107-2218-E-009-052</t>
  </si>
  <si>
    <t>參加THE WEB CONFERENCE 2019 (WWW’19) 並發表論文</t>
  </si>
  <si>
    <t>108/05/09-108/05/20</t>
  </si>
  <si>
    <t>人工智慧DJ開源專案：全自動個人化DJ_107-2221-E-001-013-MY2</t>
  </si>
  <si>
    <t>參加會議：AAAI Conference on Artificial Intelligence，並發表論文</t>
  </si>
  <si>
    <t>108/01/26-108/02/04</t>
  </si>
  <si>
    <t>整合異質性資料之智能推薦架構(2/3)_MOST107-2218-E-002-061</t>
  </si>
  <si>
    <t>參加會議：The 24rd International Conference on Intelligent User Interfaces 發表論文：A Minimal Template for Interactive Web-based Demonstrations of Musical Machine Learning</t>
  </si>
  <si>
    <t>108/03/15-108/03/27</t>
  </si>
  <si>
    <t>以使用者為中心之智慧型雲端音樂串流及推薦平台：第三期_32T-1020819-2Cb</t>
  </si>
  <si>
    <t>參加會議：International Conference on Acoustics, Speech and Signal Processing.，發表論文：Multitask learning for frame-level instrument recognition</t>
  </si>
  <si>
    <t>108/05/04-108/05/23</t>
  </si>
  <si>
    <t>布萊頓</t>
  </si>
  <si>
    <t>行動擴增實境之顯示解析度與影格率動態調節研究_107-2628-E-001-001-MY3</t>
  </si>
  <si>
    <t>參加會議：IEEE/ACM Asia and South Pacific Design Automation Conference (ASP-DAC 2019)，擔任Student Research Forum之Session Chair</t>
  </si>
  <si>
    <t>參加會議：The Thirty-Third AAAI Conference on Artificial Intelligence (AAAI-19)，並發表論文</t>
  </si>
  <si>
    <t>108/01/23-108/02/07</t>
  </si>
  <si>
    <t>電視劇及其評論情緒字詞及後設資料之表示式空間建構委託研究計劃_32T-1071018-1Q</t>
  </si>
  <si>
    <t>深度減碳，邁向永續社會計畫</t>
  </si>
  <si>
    <t>至奧地利維也納參加 EGU Eneral Assembly 2019並發表論文</t>
  </si>
  <si>
    <t>108/04/07-108/04/15</t>
  </si>
  <si>
    <t>新興農業生物技術</t>
  </si>
  <si>
    <t>應邀參加在日本名古屋舉行之｢2019日本植物生理學會年會JSPP暨日台植物生物學國際研討會TJBP會議｣，會後至倉敷市岡山大學發表演講。</t>
  </si>
  <si>
    <t>名古屋(Nagoya) 倉敷 (Kurshiki)</t>
  </si>
  <si>
    <t>出席國際研討會3rd International Conference on Molecular Biology and Biotechnology 2019 （ICMBB2019），以及UPM、UCSI大學訪問。</t>
  </si>
  <si>
    <t>代表中心參加ASxOIST Joint Symposium中AS基因組研究人員</t>
  </si>
  <si>
    <t>前往名古屋以及奈良參與台日植物研究學者交流以及後轉錄修飾的研討大會。除了在名古屋以壁報展示研究成果，也會在奈良的會議上口頭展示發表的成果。</t>
  </si>
  <si>
    <t>參與2019日臺植物學會 海報發表 推廣蝴蝶蘭研究成果</t>
  </si>
  <si>
    <t>中研院南部院區鋰電池儲能系統開發與新世代全固態電池材料研發計畫</t>
  </si>
  <si>
    <t>臺灣人體生物資料庫計畫</t>
  </si>
  <si>
    <t>歐亞美洲</t>
  </si>
  <si>
    <t>本所臺灣人體生物資料庫生物醫學主管梁啓銘客座講座及博士後尤宗富擬出席108年4月23日至24日於冰島雷克亞未克舉行之【2nd International Cohorts Summit, IHCC】工作會議</t>
  </si>
  <si>
    <t>冰島(Iceland)</t>
  </si>
  <si>
    <t>雷克雅未克(Reykjavik)</t>
  </si>
  <si>
    <t>本所臺灣人體生物資料庫生物醫學主管梁啓銘客座講座及博士後尤宗富出席108年4月23日至24日於冰島雷克亞未克舉行之【2nd International Cohorts Summit, IHCC】工作會議。</t>
  </si>
  <si>
    <t>出席美國亞特蘭大舉行之AACR Annual Meeting 2019【亞洲世代研究工作聯盟(ACC)工作會議】。</t>
  </si>
  <si>
    <t>108/03/29-108/04/06</t>
  </si>
  <si>
    <t>打造世界級蛋白質研發重鎮</t>
  </si>
  <si>
    <t>代表TPP計畫出席國際學術會議，彙整研究成果口頭發表並張貼研究論文海報</t>
  </si>
  <si>
    <t>108/01/19-108/01/26</t>
  </si>
  <si>
    <t>參加Advanced user training of icpTOF (icpTOF操作訓練課程)</t>
  </si>
  <si>
    <t>108/03/02-108/03/10</t>
  </si>
  <si>
    <t>瑞士(Switzerland)</t>
  </si>
  <si>
    <t>Thun City</t>
  </si>
  <si>
    <t>參加 Advanced user training of icpTOF (icpTOF 操作課程)</t>
  </si>
  <si>
    <t>訪問</t>
  </si>
  <si>
    <t>赴德國布萊梅大學參訪，共同研討亞洲地區之空氣汙染問題及其對區域大氣化學與氣候變遷的影響，並商討合作計畫-EMeRGe Project TEAM 3事宜</t>
  </si>
  <si>
    <t>108/02/11-108/02/19</t>
  </si>
  <si>
    <t>Bremen</t>
  </si>
  <si>
    <t>赴德國Institute of Environmental Physics/ Institute of Remote Sensing of the University of Bremen(布萊梅大學)參訪，共同研討亞洲地區之空氣汙染問題及其對區域大氣化學與氣候變遷的影響，並商討合作計畫-EMeRGe Project TEAM 3 meeting 事宜。</t>
  </si>
  <si>
    <t>108/02/08-108/02/16</t>
  </si>
  <si>
    <t>新興農業生物技術計畫</t>
  </si>
  <si>
    <t>2/27-3/2擔任6th Ringberg workshop on Structural Biology with FELs研習營Speaker、3/3-3/6參訪及商談學術合作</t>
  </si>
  <si>
    <t>108/02/25-108/03/08</t>
  </si>
  <si>
    <t>德國(Germany) 比利時(Belgium)</t>
  </si>
  <si>
    <t>Tegernsee(Ringberg) 布魯塞爾(Brussels) Marburg</t>
  </si>
  <si>
    <t>生技醫藥轉譯創新發展計畫支援國家生技研究園區之國際合作，此行將了解日本高科技自動化設備對發展再生醫學際合作的利基，並與園區長官及BPIPO代表一同拜訪日本iPark，期未來推動雙方園區交流與合作。</t>
  </si>
  <si>
    <t>108/04/10-108/04/17</t>
  </si>
  <si>
    <t>為執行國合組108年度預計完成之國際合作計畫，及籌備6月之終日雙邊研討會生物醫學研究所TSPA-國際合作組協同主持人陳玠甫博士，將於2019年5月22日至5月24日參加日本醫學相關企業、學術機構，如京都大學、iCeMS、CiRA...等重點醫學機構並受邀演講。</t>
  </si>
  <si>
    <t>108/05/22-108/05/24</t>
  </si>
  <si>
    <t>為執行年度計畫生物醫學研究所TSPA-國際合作組協同主持人陳玠甫博士，將於2019年3月31日至4月6日參加日本醫學相關企業、學術機構，如FBRI、CPCs、Riken Kobe，京都大學、iCeMS、CiRA...等重點醫學機構之參訪行程</t>
  </si>
  <si>
    <t>108/03/31-108/04/04</t>
  </si>
  <si>
    <t>為執行年度計畫生物醫學研究所TSPA-國際合作組協同主持人陳玠甫博士，將於2019年3月31日至4月4日參加日本醫學相關企業、學術機構，如FBRI、CPCs、Riken Kobe，京都大學、iCeMS、CiRA...等重點醫學機構之參訪行程，其參訪行程為國合組108年度預計完成之國際合作計畫。</t>
  </si>
  <si>
    <t>參訪京都大學並討論雙邊交流研討會各項事宜(bilateral symposium between iCeMS and Academia Sinica)</t>
  </si>
  <si>
    <t>108/02/27-108/03/01</t>
  </si>
  <si>
    <t>國合組108年度國際合作計畫之日本重點醫學機構參訪</t>
  </si>
  <si>
    <t>108/01/23-108/01/27</t>
  </si>
  <si>
    <t>京都(Kyoto) 神戶(Kobe)</t>
  </si>
  <si>
    <t>2019年2月25日至3月4日參加日本醫學相關企業、學術機構，如CiRA、iCeMS、京都大學...等重點醫學機構之參訪行程,其中3/1-3為私人公務行程,所以私人公務行程不申請國合經費做使用,最後一天3/4為移動日計算</t>
  </si>
  <si>
    <t>108/02/25-108/03/04</t>
  </si>
  <si>
    <t>東京(Tokyo) 京都(Kyoto)</t>
  </si>
  <si>
    <t>為執行年度計畫生物醫學研究所TSPA-國際合作組協同主持人將於2019年1月21日至1月26日參加日本醫學相關企業、學術機構，如CMIC、京都製藥工業、京都大學...等重點醫學機構之參訪行程</t>
  </si>
  <si>
    <t>108/01/21-108/01/27</t>
  </si>
  <si>
    <t>京都(Kyoto) 東京(Tokyo) 神戶(Kobe)</t>
  </si>
  <si>
    <t>USA</t>
  </si>
  <si>
    <t>研究</t>
  </si>
  <si>
    <t>培育科技菁英計畫</t>
  </si>
  <si>
    <t>"人文組年輕學者進修計畫</t>
  </si>
  <si>
    <t>不限</t>
  </si>
  <si>
    <t>107/04/23-108/04/09</t>
  </si>
  <si>
    <t>法國(France) 日本(Japan)</t>
  </si>
  <si>
    <t>巴黎(Paris) 京都(Kyoto)</t>
  </si>
  <si>
    <t>與國外頂尖大學合作培訓博士後人員</t>
  </si>
  <si>
    <t>參與本院與頂尖大學及研究機構人才培育合作計畫補助博士後研究人員赴國外研究</t>
  </si>
  <si>
    <t>108/01/15-109/02/01</t>
  </si>
  <si>
    <t>獎助院內人員短期赴國外學術研究機構合作研究試行計畫</t>
  </si>
  <si>
    <t>赴美霍普金斯大學分子微生物學及免疫學所所長Arturo Casadevall的實驗室從事短期研究</t>
  </si>
  <si>
    <t>108/01/01-108/03/29</t>
  </si>
  <si>
    <t>執行博士後研究計畫以及增進與法國學者之間的交流，擬於108年4月前往法國巴黎狄德羅大學(Université Paris Diderot)「非洲、美洲及亞洲社會科學研究中心CESSMA(Centre d’études en sciences sociales sur les mondes africains, américains et asiatiques)」擔任為期3個禮拜的訪問學者</t>
  </si>
  <si>
    <t>108/04/09-108/05/01</t>
  </si>
  <si>
    <t>前往美國華盛頓哥倫比亞特區參與2019年美國地理學家學會年會(2019 – AAG(American Association of Geographers) Annual Meeting)發表「台灣早餐的日常實踐：早餐店在其中扮演的解色及策略」研究成果</t>
  </si>
  <si>
    <t>參加13th太平洋藝術協會國際研討會並發表論文。</t>
  </si>
  <si>
    <t>108/03/24-108/03/28</t>
  </si>
  <si>
    <t>布里斯本(Brisbane)</t>
  </si>
  <si>
    <t>赴日本參與15th International Conference of the Western Economic Association International (WEAI)</t>
  </si>
  <si>
    <t>赴美國芝加哥出席中西部政治學會(MPSA)第77屆年會，於會中口頭發表論文。</t>
  </si>
  <si>
    <t>108/04/02-108/04/11</t>
  </si>
  <si>
    <t>至德國Julich研究中心進行專題研究</t>
  </si>
  <si>
    <t>108/05/22-108/06/03</t>
  </si>
  <si>
    <t>Julich</t>
  </si>
  <si>
    <t>參加在美國德國達拉斯(Dallas)舉行之｢第60屆果蠅學術研討會｣。</t>
  </si>
  <si>
    <t>108/03/26-108/04/02</t>
  </si>
  <si>
    <t>赴日本名古屋參加第60屆日本植物生理學年會暨2019日台植物生物學國際研討會，進行口頭報告，發表台灣進五年之癭學研究進展以及本人於紅楠蟲癭之分子分析上的突破。</t>
  </si>
  <si>
    <t>赴加拿大維多利亞出席國際會議(New Horizons in Planetary Systems)及發表論文。</t>
  </si>
  <si>
    <t>108/05/03-108/05/24</t>
  </si>
  <si>
    <t>維多利亞(Victoria)(05/01-10/15) 蒙特婁(Montreal)</t>
  </si>
  <si>
    <t>本次出國發表，申請院內年輕學者赴國外參加國際學術會議計畫，將於北美台灣研究學會發表研究成果，與台灣與北美學者交流。</t>
  </si>
  <si>
    <t>108/05/15-108/05/20</t>
  </si>
  <si>
    <t>中央研究院獎助院內年輕學者赴國外參加國際學術會議計畫。赴美國德州奧斯汀參加美國人口學會(Population Association of America)所舉辦之2019年人口學年會，發表兩篇相關論文。</t>
  </si>
  <si>
    <t>108/04/09-108/04/17</t>
  </si>
  <si>
    <t>奧斯丁(Austin, Texas)</t>
  </si>
  <si>
    <t>參與第66屆 日本應用物理學會春季學術講演會, 並在會議中發表口頭報告。</t>
  </si>
  <si>
    <t>108/03/08-108/03/17</t>
  </si>
  <si>
    <t>參加AAI 2019國際會議</t>
  </si>
  <si>
    <t>歐亞美澳非</t>
  </si>
  <si>
    <t>受邀至Stanford University移地研究</t>
  </si>
  <si>
    <t>108/01/31-108/04/29</t>
  </si>
  <si>
    <t>Stanford</t>
  </si>
  <si>
    <t>Henon映射全純影隨定理之研究(陳怡全)_107-2115-M-001-006-</t>
  </si>
  <si>
    <t>受邀至 Tokyo Institute of Technology 移地研究</t>
  </si>
  <si>
    <t>108/03/23-108/04/06</t>
  </si>
  <si>
    <t>柯西黎曼不變子流形, 奇異山邊問題及複/極小子流形逼近(鄭日新)_107-2115-M-001-011-</t>
  </si>
  <si>
    <t>受邀至Princeton University 移地研究</t>
  </si>
  <si>
    <t>108/03/03-108/03/15</t>
  </si>
  <si>
    <t>Princeton, New Jersey</t>
  </si>
  <si>
    <t>受邀至RIMS, Kyoto University移地研究</t>
  </si>
  <si>
    <t>108/02/09-108/02/23</t>
  </si>
  <si>
    <t>透過Drell-Yan過程量測核 與介子的夸克多維度分布_MOST106-2112-M-001-024</t>
  </si>
  <si>
    <t>本所研究員章文箴先生訂於2019年1月7日至1月11日止前往日本茨城縣東海村「日本高能加速器研究機構理論中心」進行研究資料蒐集與數據分析。</t>
  </si>
  <si>
    <t>108/01/07-108/01/11</t>
  </si>
  <si>
    <t>茨城縣東海村</t>
  </si>
  <si>
    <t>碰撞機、宇宙學、及引力學之非平衡物理-宇宙暴脹的重力波_107-2119-M-001-030-</t>
  </si>
  <si>
    <t>應邀前往美國賓州州立大學「宇宙學和引力研究所」進行學術研究。</t>
  </si>
  <si>
    <t>108/01/01-108/03/06</t>
  </si>
  <si>
    <t>Erie(伊利) Pennsylvania</t>
  </si>
  <si>
    <t>2019年日本nano tech奈米科技展－台灣館參展計畫_107-2119-M-001-049-</t>
  </si>
  <si>
    <t>赴日本東京出席「nano tech 2019」展覽會</t>
  </si>
  <si>
    <t>108/01/28-108/02/03</t>
  </si>
  <si>
    <t>科技部國際產學聯盟計畫-萌芽個案計畫_MOST107-2622-8-110-005-SB2(萌芽計</t>
  </si>
  <si>
    <t>赴法國菲沃(Fuveau) ORSAY PHYSICS TESCAN ORSAY HOLDING做研究。</t>
  </si>
  <si>
    <t>菲沃(Fuveau)</t>
  </si>
  <si>
    <t>赴日本東京出席「Japan nano tech 2019」展覽會</t>
  </si>
  <si>
    <t>108/01/28-108/02/02</t>
  </si>
  <si>
    <t>赴日本東京出席「Japan nano tech 2019」展覽會。</t>
  </si>
  <si>
    <t>高速X光三維成像重建構全腦神經網路結構(1/4)_107-2119-M-001-047-</t>
  </si>
  <si>
    <t>應邀赴日本兵庫縣SPring-8進行X光相關研究(實驗)</t>
  </si>
  <si>
    <t>108/02/11-108/02/15</t>
  </si>
  <si>
    <t>兵庫縣</t>
  </si>
  <si>
    <t>赴南韓Pohang Accelerator Laboratory (PAL)進行X光相關研究(實驗)</t>
  </si>
  <si>
    <t>108/03/06-108/03/11</t>
  </si>
  <si>
    <t>浦項</t>
  </si>
  <si>
    <t>研究氣體分子侷限在很小空間及固體/水界面之狀態_106-2112-M-001-025-MY3</t>
  </si>
  <si>
    <t>赴日本愛知縣東岡崎市 日本自然科學研究機構，分子科學研究所進行「以掃描穿隧X光顯微術研究氣體凝態奈米結構」相關實驗研究。</t>
  </si>
  <si>
    <t>108/02/24-108/03/03</t>
  </si>
  <si>
    <t>愛知縣東岡崎市</t>
  </si>
  <si>
    <t>赴南韓Pohang Accelerator Laboratory (PAL)進行X光相關實驗(研究)</t>
  </si>
  <si>
    <t>協助台灣奈米主題館展覽建館相關事宜。</t>
  </si>
  <si>
    <t>赴南韓Pohang Accelerator Laboratory (PAL)進行X光相關研究</t>
  </si>
  <si>
    <t>為研究需要，羅令崴博士擬於2019年2月10日至2月17日前往日本京都大學參與2019宇宙重力討論會議</t>
  </si>
  <si>
    <t>台灣微中子實驗 - 以超低能探測器研究低能區微中子物理與找尋暗物質_107-2119-M-001-028-MY3</t>
  </si>
  <si>
    <t>訪問學者盛孟洛先生擬於2019年1月24日至2月24日赴印度瓦拉納西(Varanasi)達貝納内斯印度大學(Banaras Hindu University，簡稱BHU)報告研究進展，規劃雙方未來工作等合作事宜。</t>
  </si>
  <si>
    <t>108/01/24-108/02/24</t>
  </si>
  <si>
    <t>瓦拉納西(Varanasi)</t>
  </si>
  <si>
    <t>郭青齡副研究員擬於2019-02-14至2019-02-20赴美國貝塞斯達National Institutes of Health進行研究</t>
  </si>
  <si>
    <t>108/02/14-108/02/20</t>
  </si>
  <si>
    <t>貝塞斯達(Bethesda, Maryland)</t>
  </si>
  <si>
    <t>在ATLAS實驗搜索新物理與希格斯玻色子並且參與Phase-2探測器升級-在ATLAS實驗搜索新物理與希格斯玻色子並且參與Phase-2探測器升級_107-2119-M-001-016-MY3</t>
  </si>
  <si>
    <t>本組派遣羅馬尼亞籍博士後研究布扎圖先生(Adrian Buzatu)自2018年8月1日起至2019年2月28日前往瑞士日內瓦之「歐洲核子研究組織」(European Organization for Nuclear Research，以下簡稱CERN)從事研究工作。</t>
  </si>
  <si>
    <t>107/08/01-108/02/28</t>
  </si>
  <si>
    <t>日內瓦(Geneva)</t>
  </si>
  <si>
    <t>臺美(US)國合計畫-臺美PIRE計畫:研發嶄新高純鍺探測器以開展前沿粒子物理稀有事例實驗_MOST106-2923-M-001-006-MY5</t>
  </si>
  <si>
    <t>研究助理林楓凱先生擬於2019年5月15日至6月1日前往德國慕尼黑(Munich)、義大利拉奎拉(l’Aquila)參加暑期學校(PIRE-GEMADARC Summer School2019)、PIRE及LEGEND合作討論會(PIRE-GEMADARC and LEGEND Collaboration Meeting)以進行專題研究、研習專業知識及技能。</t>
  </si>
  <si>
    <t>108/05/15-108/06/01</t>
  </si>
  <si>
    <t>德國(Germany) 義大利(Italy)</t>
  </si>
  <si>
    <t>慕尼黑(Munich) 拉奎拉(l’Aquila)</t>
  </si>
  <si>
    <t>訪問學者盛孟洛先生擬於2019年5月15日至6月1日前往德國慕尼黑(Munich)、義大利拉奎拉(l’Aquila)參加暑期學校(PIRE-GEMADARC Summer School2019)、PIRE及LEGEND合作討論會(PIRE-GEMADARC and LEGEND Collaboration Meeting)以進行專題研究、研習專業知識及技能。</t>
  </si>
  <si>
    <t>地函隱沒礦物於高壓下之熱傳導與聲速研究_107-2628-M-001-004-MY3</t>
  </si>
  <si>
    <t>赴新加坡國立大學從事移地研究實驗</t>
  </si>
  <si>
    <t>108/03/31-108/04/05</t>
  </si>
  <si>
    <t>前往維德角明德盧（Mindelo, Cape Verde）搭乘德國研究船R/V Meteor出海作業，航次結束後於瓜地洛普皮特爾角城（ Pointe-a-Pitre, Guadeloupe）靠港登陸，搭機返台。</t>
  </si>
  <si>
    <t>108/03/30-108/05/02</t>
  </si>
  <si>
    <t>維德角(Cape Verde) 法屬瓜地洛普(Guadeloupe)</t>
  </si>
  <si>
    <t>明德盧 法屬瓜地洛普(Guadeloupe)(12/01-04/30)</t>
  </si>
  <si>
    <t>前往維德角明德盧（Mindelo, Cape Verde）搭乘德國研究船R/V Meteor出海作業，航次結束後於瓜地洛普皮特 爾角城（ Pointe-a-Pitre, Guadeloupe）靠港登陸，搭機返台。</t>
  </si>
  <si>
    <t>108/03/30-108/05/05</t>
  </si>
  <si>
    <t>地函動力模式:熱傳導係數變化的重要性探討_107-2116-M-001-010-</t>
  </si>
  <si>
    <t>赴法國University of Nantes、Institut De Physique Du Globe De Paris及University Claude-Benard與合作學者討論研究</t>
  </si>
  <si>
    <t>108/03/13-108/03/30</t>
  </si>
  <si>
    <t>Nantes 巴黎(Paris) 里昂(Lyon)</t>
  </si>
  <si>
    <t>赴雅加達進行野外地質考察</t>
  </si>
  <si>
    <t>108/05/14-108/05/17</t>
  </si>
  <si>
    <t>印尼(Indonesia)</t>
  </si>
  <si>
    <t>雅加達(Jakarta)</t>
  </si>
  <si>
    <t>台菲(VOTE TWG國合計畫-馬尼拉隱沒帶與菲律賓斷層之地震與大地測量監測計畫_MOST105-2923-M-006-006-MY3</t>
  </si>
  <si>
    <t>赴菲律賓呂宋地區GPS衛星測量及衛星固定站儀器維護</t>
  </si>
  <si>
    <t>108/05/19-108/06/02</t>
  </si>
  <si>
    <t>馬尼拉(Manila) 北呂宋地區</t>
  </si>
  <si>
    <t>前往新加坡南洋理工大學(NTU)地球觀測研究所(EOS)，針對過去野外調查於緬甸若開邦(Rakhine state)所採集的珊瑚化石樣本交流應用於鈾釷定年的前處理技術</t>
  </si>
  <si>
    <t>東京大學Kenji Kawai教授討論發表之論文</t>
  </si>
  <si>
    <t>108/05/23-108/06/02</t>
  </si>
  <si>
    <t>千葉 東京(Tokyo)</t>
  </si>
  <si>
    <t>第一過渡系元素與同位素之高溫地球化學研究_105-2628-M-001-002-MY4</t>
  </si>
  <si>
    <t>赴泰國野外地質考察及採樣</t>
  </si>
  <si>
    <t>108/04/27-108/05/07</t>
  </si>
  <si>
    <t>Lopburi Lopburi and Saraburi area Nakhon Ratchasima area Surin area Ubon Ratchathani area 曼谷(Bangkok)</t>
  </si>
  <si>
    <t>108/02/21-108/02/26</t>
  </si>
  <si>
    <t>赴印尼進行野外地質考察及採樣</t>
  </si>
  <si>
    <t>108/01/09-108/02/12</t>
  </si>
  <si>
    <t>雅加達(Jakarta) 萬隆(Bandung) Kebumen 日惹 諫義里Kediri 泗水(Surabaya) Lawu-三寶瓏 直葛Tegal</t>
  </si>
  <si>
    <t>108/01/20-108/01/29</t>
  </si>
  <si>
    <t>雅加達(Jakarta) 萬隆(Bandung) Kebumen 日惹 諫義里Kediri 泗水(Surabaya) 巴里島(Bali Island)</t>
  </si>
  <si>
    <t>赴菲律賓從事野外調查與維護寬頻地震站及收集地震資料</t>
  </si>
  <si>
    <t>108/02/18-108/02/25</t>
  </si>
  <si>
    <t>馬尼拉(Manila)</t>
  </si>
  <si>
    <t>赴越南進行野外地質考察</t>
  </si>
  <si>
    <t>108/01/11-108/02/09</t>
  </si>
  <si>
    <t>河內(Hanoi)</t>
  </si>
  <si>
    <t>科技部107年度【 雪山山脈與脊樑山脈之地質界線特徵研究(IV) 】計畫。至越南河內地區進行紅河斷裂帶構造之野外考察</t>
  </si>
  <si>
    <t>108/01/14-108/02/26</t>
  </si>
  <si>
    <t>至印尼泗水與印尼地理空間資訊局(Geospatial Information Agency (BIG))進行討論合作事宜</t>
  </si>
  <si>
    <t>108/02/11-108/02/13</t>
  </si>
  <si>
    <t>泗水(Surabaya)</t>
  </si>
  <si>
    <t>前往越南安沛(Yen Bai)、山蘿(Son La)、Tu Le、Song Ma等地區進行變質沉積岩野外調查與採樣，以及新期活動構造野外實察等工作</t>
  </si>
  <si>
    <t>108/02/13-108/02/20</t>
  </si>
  <si>
    <t>河內(Hanoi) 安沛(Yen Bai)、山蘿(Son La)、Tu Le、Song Ma等地區</t>
  </si>
  <si>
    <t>至泰國朱拉隆功大學地質調查工程學系進行學術交流訪問暨學術合作協議簽訂</t>
  </si>
  <si>
    <t>赴越南及寮國從事野外工作設置寬頻地震觀測網地震站</t>
  </si>
  <si>
    <t>台北都會防災科學任務-確認大屯火山地下岩漿庫的位置與形貌(2/4)_107-2119-M-001-006-</t>
  </si>
  <si>
    <t>至九州進行火山地區地質及地熱調查研究</t>
  </si>
  <si>
    <t>108/01/23-108/01/31</t>
  </si>
  <si>
    <t>福岡(Fukuoka) 別府 熊本(Kumamoto)</t>
  </si>
  <si>
    <t>自動驗證和生成進行數據密集型計算的程式_106-2221-E-001-009-MY3</t>
  </si>
  <si>
    <t>E722_自動驗證和生成進行數據密集型計算的程式_MOST106-2221-E-001-009-MY3_MOSCA 2019</t>
  </si>
  <si>
    <t>108/04/25-108/05/12</t>
  </si>
  <si>
    <t>義大利(Italy) 捷克(Czech Republic)</t>
  </si>
  <si>
    <t>Bertinoro 布爾諾(Brno)</t>
  </si>
  <si>
    <t>自動化生成和驗證高效安全不洩漏旁通道資訊的密碼學程式_371623_MOST105-2221-E-001-014-MY3_美國辛辛那提大學與丁津泰教授進行國際合作與移地研究討論</t>
  </si>
  <si>
    <t>以全基因體定序方式解讀稻米地方品系對現代育種的影響(植邢）_107-2313-B-001-007-MY2</t>
  </si>
  <si>
    <t>科技部計畫 以全基因體定序方式解讀稻米地方品系對現代育種的影響</t>
  </si>
  <si>
    <t>1) 赴日本京都大學Prof. Yoshinori Akiyama實驗室進行學術討論會 2) 參加日本科技振興學會(JST)學術討論會</t>
  </si>
  <si>
    <t>108/02/20-108/02/26</t>
  </si>
  <si>
    <t>京都(Kyoto) 沖繩(Okinawa)</t>
  </si>
  <si>
    <t>1) 赴日本大阪府立大學進行學術討論會 2) 赴日本東京大學進行學術討論會</t>
  </si>
  <si>
    <t>107/12/26-108/01/07</t>
  </si>
  <si>
    <t>大阪(Osaka) 東京(Tokyo)</t>
  </si>
  <si>
    <t>107/12/26-108/01/05</t>
  </si>
  <si>
    <t>1) 赴日本京都大學Prof. Yoshinori Akiyama實驗室進行學術討論會 2) 赴日本室蘭工業大學進行學術討論會並發表演講</t>
  </si>
  <si>
    <t>108/02/20-108/03/04</t>
  </si>
  <si>
    <t>京都(Kyoto) 室蘭</t>
  </si>
  <si>
    <t>赴日神奈川，北里大學，進行採樣，實驗研究。</t>
  </si>
  <si>
    <t>108/04/20-108/04/24</t>
  </si>
  <si>
    <t>神奈川</t>
  </si>
  <si>
    <t>老問題新答案-頭足類動物的代謝適應與酸鹼調節_107-2311-B-001-015-MY3</t>
  </si>
  <si>
    <t>前往日本鹿兒島大學協助硫磺島怪方蟹之生理研究</t>
  </si>
  <si>
    <t>108/05/12-108/05/17</t>
  </si>
  <si>
    <t>協助推動產學研界夥伴關係平台_MOST107-3111-Y-001-052</t>
  </si>
  <si>
    <t>應邀赴伊利諾大學芝加哥分校及俄亥俄州立大學推廣臺灣蛋白質計畫(TPP)之研究成果及交流、討論執行中與未來之計畫合作、並順道參訪奧勒岡健康與科學大學之冷凍電顯中心以交換經驗及赴加州大學聖地牙哥分校討論執行中之合作計畫。</t>
  </si>
  <si>
    <t>108/05/01-108/05/14</t>
  </si>
  <si>
    <t>芝加哥(Chicago,Illinois) 哥倫布(Columbus, Ohio) 波特蘭(Portland, Oregon) 聖地牙哥(San Diego,California)</t>
  </si>
  <si>
    <t>對腫瘤生存能力不可或缺的粒線體基質蛋白?的三維結構與機制研究_105-2320-B-001-015-MY3</t>
  </si>
  <si>
    <t>此次出國計畫屬移地研究. 目的為使用日本同步輻射加速器SPring8從事晶體繞射實驗. 收集晶體繞射數據係本科技部計畫中重要的實驗之一. 此實驗將使用SPring8先進的SP44XU光束線收集晶體繞射數據.</t>
  </si>
  <si>
    <t>108/01/19-108/01/22</t>
  </si>
  <si>
    <t>Hyogo</t>
  </si>
  <si>
    <t>赴日本同步輻射機構Spring-8進行蛋白質晶體繞射實驗及數據收集。</t>
  </si>
  <si>
    <t>西班牙帝國占領北非，1497-1598：殖民、遷徙、以及關係_MOST 107-2410-H-001-109-MY3</t>
  </si>
  <si>
    <t>因執行科技部計畫「西班牙帝國占領北非，1497-1598：殖民、遷徙、以及關係」需要，前往摩洛哥卡薩布蘭加、丹吉爾、西班牙馬德里與義大利波隆納、巴勒摩等處之博物館、圖書館蒐集研究資料，並與當地學者進行學術交流。</t>
  </si>
  <si>
    <t>108/03/16-108/04/15</t>
  </si>
  <si>
    <t>摩洛哥(Morocco) 西班牙(Spain) 義大利(Italy)</t>
  </si>
  <si>
    <t>卡薩布蘭加(Casablanca) 丹吉爾(Tangier) 馬德里(Madrid) 波隆納(Bologna) 佛羅倫斯(Florence) 拉溫那(Ravenna) 巴勒摩(Palermo) 切法盧(Cefalu)</t>
  </si>
  <si>
    <t>中國婦人方之東亞傳播及其在地發展_MOST 107-2410-H-001-019</t>
  </si>
  <si>
    <t>因執行科技部計畫「中國婦人方之東亞傳播及其在地發展」需要，前往南韓首爾國立大學、韓國學中央研究院等處蒐集資料。</t>
  </si>
  <si>
    <t>108/06/01-108/06/06</t>
  </si>
  <si>
    <t>亞洲佛教藝術圖典與知識系統之建構(II-III)－中國佛教石窟圖典與知識系統之建構(1/2)_MOST 106-2420-H-001-022</t>
  </si>
  <si>
    <t>為執行科技部補助計畫「亞洲佛教藝術圖典與知識系統之建構(II-III)－中國佛教石窟圖典與知識系統之建構(1/2)」，約聘助理陳怡安先生隨同計畫主持人顏娟英女士赴日本奈良、京都等地蒐集研究資料。</t>
  </si>
  <si>
    <t>108/06/06-108/06/10</t>
  </si>
  <si>
    <t>奈良(Nara) 京都(Kyoto)</t>
  </si>
  <si>
    <t>安陽殷墟青銅器陶範製作法的研究_MOST 105-2410-H-001-047-MY2</t>
  </si>
  <si>
    <t>因執行科技部計畫「安陽殷墟青銅器陶範製作法的研究」需要，前往日本北九州蘆屋釜之里進行鑄造實驗。</t>
  </si>
  <si>
    <t>108/01/19-108/01/24</t>
  </si>
  <si>
    <t>北九州(Kitakyushu)</t>
  </si>
  <si>
    <t>因執行科技部計畫「巴布亞新幾內亞Mussau群島Lapita陶器岩象分析」需要，前往美國亞歷桑納大學人類學院David Killick教授實驗室進行岩象切片分析。</t>
  </si>
  <si>
    <t>108/01/03-108/01/28</t>
  </si>
  <si>
    <t>土桑</t>
  </si>
  <si>
    <t>從廟堂賢良到賢良廟堂 ─ 賢良祠與清代國家祀典的 建_MOST 104-2410-H-001-043-MY3</t>
  </si>
  <si>
    <t>因執行科技部計畫「從廟堂賢良到賢良廟堂──賢良祠與清代國家祀典的佈建」需要，前往普林斯頓大學及哥倫比亞大學參加工作坊及蒐集研究資料。</t>
  </si>
  <si>
    <t>108/01/09-108/01/24</t>
  </si>
  <si>
    <t>普林斯頓 紐約市(New York,New York)</t>
  </si>
  <si>
    <t>因執行科技部計畫「亞洲佛教藝術圖典與知識系統之建構(II-III)－中國佛教石窟圖典與知識系統之建構(1/2)」需要，前往日本奈良國立博物館、東大寺、法隆寺、京都國立博物館、龍谷大學龍谷博物館等地蒐集資料。</t>
  </si>
  <si>
    <t>New Creative Networks of the Pacific Rim: Art Toys and Local Comics Scenes_105-2410-H-001-082-MY3</t>
  </si>
  <si>
    <t>依研究計劃書所擬前往新加坡蒐集當地漫畫家、公仔/設計師玩具藝術家等訪談資料、了解當地藝術市場、場景。</t>
  </si>
  <si>
    <t>108/04/18-108/04/26</t>
  </si>
  <si>
    <t>新時代的緬甸古典音樂：世襲、懷舊與陽性氣質_103-2410-H-001-093-MY4</t>
  </si>
  <si>
    <t>赴緬甸仰光地區進行田野調查。</t>
  </si>
  <si>
    <t>仰光(Rangoon)</t>
  </si>
  <si>
    <t>至東亞博物館及紐約大都會博物館蒐集資料</t>
  </si>
  <si>
    <t>現代中國農村的副業與市場經濟，1937-1965_105-2628-H-001-005-MY3</t>
  </si>
  <si>
    <t>為執行科技部現代中國農村的副業與市場經濟，1937-1965研究計畫，赴日本東京蒐集資料。 （原擬赴大阪蒐集資料，因主要相關的研究資料大部分在東京，故改赴東京蒐集資料）</t>
  </si>
  <si>
    <t>108/02/13-108/02/28</t>
  </si>
  <si>
    <t>現代中國農村的副業與市場經濟，1937-1965 探討20世紀中國農村的副業與市場和國家間的關係，並擬與同時代日本方面的情形進行比較，故須赴日本蒐集資料</t>
  </si>
  <si>
    <t>108/03/04-108/03/15</t>
  </si>
  <si>
    <t>製造「新名詞」：《時務報》「東文報譯」與日本媒體之研究_107-2410-H-001-051-MY2</t>
  </si>
  <si>
    <t>為執行科技部研究計畫，赴日本京都索查史源。</t>
  </si>
  <si>
    <t>108/03/03-108/03/16</t>
  </si>
  <si>
    <t>孫中山與蔣介石的「日本經驗」：重塑近代中國的思想脈絡_106-2410-H-001-075-MY2</t>
  </si>
  <si>
    <t>執行科技部「孫中山與蔣介石的『日本經驗』：重塑近代中國的思想脈絡」第二年度計畫，擬赴日本東京蒐集資料。 (第二年度計畫原定赴日本京都、熊本蒐集資料，現變更為赴日本東京蒐集資料)</t>
  </si>
  <si>
    <t>清末民初中國宗教界人士對《天演論》的肆應_107-2410-H-001-006-MY2</t>
  </si>
  <si>
    <t>為執行科技部計畫擬赴日本名古屋大學收集日本近代知識分子對演化理論之譯介之史料</t>
  </si>
  <si>
    <t>信息，風險，以及多期的代理人問題：動態契約方法_107-2410-H-001-035-MY2</t>
  </si>
  <si>
    <t>赴日本東京青山學院大學與Seung-Gyu(Andrew)Sim教授進行學術交流</t>
  </si>
  <si>
    <t>107/12/31-108/01/08</t>
  </si>
  <si>
    <t>租稅與產業升級：一個雙引擎成長模型_107-2410-H-001-026-</t>
  </si>
  <si>
    <t>為執行研究計畫，至日本新潟日本國際大學移地研究</t>
  </si>
  <si>
    <t>108/01/27-108/02/06</t>
  </si>
  <si>
    <t>新瀉(Niigata)</t>
  </si>
  <si>
    <t>遺產稅調降對死亡時點、遺產總額與財產累積的影響_106-2410-H-001-018-MY3</t>
  </si>
  <si>
    <t>獲韓國首爾大學經濟系Jungmin Lee教授邀請，前往首爾大學經濟系演講並進行學術交流</t>
  </si>
  <si>
    <t>108/05/28-108/05/30</t>
  </si>
  <si>
    <t>因子工具變數估計量與極值估計量的模型選擇準則_107-2410-H-001-031-MY3</t>
  </si>
  <si>
    <t>赴荷蘭鹿特丹伊拉斯姆斯大學與Wendun Wang教授進行學術交流並撰寫研究計畫下相關論文。</t>
  </si>
  <si>
    <t>108/03/26-108/04/10</t>
  </si>
  <si>
    <t>鹿特丹(Rotterdam)</t>
  </si>
  <si>
    <t>台灣的永續都市化與水-能源-糧食鏈結決策支援系統之研究-總計畫暨子計畫一:都市化與水-能源-糧食鏈結:政策評估工具與永續發展指標之建立(3/3)_107-2627-M-001-008-</t>
  </si>
  <si>
    <t>受邀赴捷克布拉格Czech University of Life Sciences Prague學術交流</t>
  </si>
  <si>
    <t>108/04/13-108/04/21</t>
  </si>
  <si>
    <t>捷克(Czech Republic)</t>
  </si>
  <si>
    <t>布拉格(Prauge)</t>
  </si>
  <si>
    <t>R&amp;D投資、國際借債、與經濟成長：小型開放經濟的分析_106-2410-H-001-003-MY3</t>
  </si>
  <si>
    <t>於4/5~4/18受郭俊宏(Chun-Hung Kuo)教授之邀，訪問日本新潟國際大學(International University of Japan)國際關係學院，除了搜集相關資料外，主要是與郭教授討論目前進行的合作研究計畫。</t>
  </si>
  <si>
    <t>108/04/05-108/04/18</t>
  </si>
  <si>
    <t>赴加拿大卡爾加利大學與Yu (Sonja) Chen教授進行學術交流並撰寫研究計畫下相關論文。</t>
  </si>
  <si>
    <t>108/01/30-108/03/03</t>
  </si>
  <si>
    <t>卡爾加利(Calgary)</t>
  </si>
  <si>
    <t>科技部計畫-"國家政經制度因素對經濟政策制定的影響:理論與實證"，受The Asian Bureau of Finance and Economic Research (ABFER)大會邀請，5/26-5/30赴新加坡參加The 7th Annual Conference(5/27-5/30)。</t>
  </si>
  <si>
    <t>108/05/26-108/05/30</t>
  </si>
  <si>
    <t>一中政策陰影下的歐中台雙邊投資協定談判_107-2410-H-001-041-</t>
  </si>
  <si>
    <t>赴布魯塞爾執行科技部計畫之移地研究</t>
  </si>
  <si>
    <t>108/02/16-108/02/22</t>
  </si>
  <si>
    <t>比利時(Belgium)</t>
  </si>
  <si>
    <t>布魯塞爾(Brussels)</t>
  </si>
  <si>
    <t>居住安排與健康餘命之全球研究_107-2410-H-001-054-MY2</t>
  </si>
  <si>
    <t>執行 A global study of living arrangement and health expectancy 科技部研究計畫</t>
  </si>
  <si>
    <t>108/03/04-108/03/19</t>
  </si>
  <si>
    <t>歐盟銀行聯盟的理論與政策_104-2420-H-001-010-MY4</t>
  </si>
  <si>
    <t>執行科技部計畫前往英國倫敦移地研究</t>
  </si>
  <si>
    <t>108/02/01-108/02/16</t>
  </si>
  <si>
    <t>受邀前往奧地利Vienna出席ICA8 2019國際會議並於會中發表演講, 以及受邀順道移地研究前往斯洛伐克Bratislava Comenius University並於所中發表演講.</t>
  </si>
  <si>
    <t>108/04/06-108/04/29</t>
  </si>
  <si>
    <t>奧地利(Austria) 斯洛伐克(Slovakia)</t>
  </si>
  <si>
    <t>維也納(Vienna) 布拉提斯拉瓦(Bratislava)</t>
  </si>
  <si>
    <t>有聯生技化合物應用於皮膚科適應症委託研究計畫_12T-1070528-1Q</t>
  </si>
  <si>
    <t>前往美國加州大學戴維斯分校參訪</t>
  </si>
  <si>
    <t>107/12/20-108/01/10</t>
  </si>
  <si>
    <t>沙加緬度</t>
  </si>
  <si>
    <t>運用第一原理分子動力學研究鈣鈦礦材料的結構和電子特性_107-2923-M-001-008-MY2</t>
  </si>
  <si>
    <t>赴日本National Institute for Materials Science(NIMS)研究交流及執行科技部臺日(JP)國合計畫－運用第一原理分子動力學研究鈣鈦礦材料的結構和電子特性</t>
  </si>
  <si>
    <t>108/02/17-108/03/01</t>
  </si>
  <si>
    <t>筑波</t>
  </si>
  <si>
    <t>表面增強拉曼散射之量子極限暨其細菌學應用研究(2/5)_107-2745-M-001-004-ASP</t>
  </si>
  <si>
    <t>赴日本東京參加 「Workshop on advanced analytical transmission electron microscopy for materials science applications」，與東京大學-日本電子(JEOL)聯合實驗儀器開發人員交流討論尖端分析式穿透電子顯微術之最新材料應用研究，並於最先進之原子級穿透電子顯微鏡進行原子顯微研究實驗之實驗儀器和方法觀摩。</t>
  </si>
  <si>
    <t>108/03/12-108/03/15</t>
  </si>
  <si>
    <t>赴日本東京大學參加"先進材料穿透電子顯微術研討會"並參東京大學/日本電子(JEOL)聯合開發中心研究人員進行尖端電子顯微術研究技術交流討論及先進實驗儀器參訪.</t>
  </si>
  <si>
    <t>生物標記物在南海海域有機碳的溯源與傳輸上之研究應用_106-2611-M-001-010-MY3</t>
  </si>
  <si>
    <t>2019年2月13日至3月4日赴加州大學戴維斯分校(University of California, Davis)進行移地研究。研究期間將使用該校土地、大氣與水資源系教授Dr. Peter J. Hernes實驗室的高解析度氣相層析質譜儀與特製的樣品前處理系統，進行有本計畫有機標記物的實驗分析與數據處理</t>
  </si>
  <si>
    <t>108/02/13-108/03/17</t>
  </si>
  <si>
    <t>Folsom, California 戴維斯(Davis, California)</t>
  </si>
  <si>
    <t>硨磲貝的族群遺傳多樣性以及耐熱反應 -- 次世代基因體定序解析_106-2923-B-001-004-MY3</t>
  </si>
  <si>
    <t>前往菲律賓巴拉望採樣及馬尼拉德拉撒爾大學進行實驗，預計4/28-5/1於巴拉望島普林塞薩港進行野外實地教學與研究、採樣，以及5/2-5/5前往馬尼拉德拉撒爾大學實驗室進行DNA萃取。</t>
  </si>
  <si>
    <t>108/04/25-108/05/09</t>
  </si>
  <si>
    <t>普林塞薩港 馬尼拉(Manila)</t>
  </si>
  <si>
    <t>108/04/25-108/05/05</t>
  </si>
  <si>
    <t>奧依岡湖微生物和化學組成：湖水季節變異及底泥深度變異_106-2923-B-001-003-MY3</t>
  </si>
  <si>
    <t>執行冬季奧依岡湖泊之湖水與底泥微生物採集。</t>
  </si>
  <si>
    <t>108/02/15-108/02/24</t>
  </si>
  <si>
    <t>蒙古(Mongolia)</t>
  </si>
  <si>
    <t>烏蘭巴托(Ulaanbaatar) 扎布汗</t>
  </si>
  <si>
    <t>執行冬季奧依岡湖之湖水與底泥微生物樣本採集。</t>
  </si>
  <si>
    <t>海膽-藻類-珊瑚的交互作用和珊瑚生態韌性_107-2611-M-001-003-</t>
  </si>
  <si>
    <t>與越南海洋研究機構　Institute of Marine Environment and Resources的研究員Dr. Tran Manh Ha合作，將在越南海防市的婆吉島及下龍灣進行海膽與珊瑚礁生態調查研究</t>
  </si>
  <si>
    <t>108/02/21-108/02/27</t>
  </si>
  <si>
    <t>海防市(HaiPhong)</t>
  </si>
  <si>
    <t>籬枝軸孔珊瑚的內岩生微生物群聚和其功能_105-2621-B-001-004-MY3</t>
  </si>
  <si>
    <t>進行珊瑚內岩生微共棲微生物研究。</t>
  </si>
  <si>
    <t>108/04/16-108/04/24</t>
  </si>
  <si>
    <t>沖繩縣 瀨底島</t>
  </si>
  <si>
    <t>明治、大正時期的詩經學研究_107-2410-H-001-086-MY3</t>
  </si>
  <si>
    <t>赴日本福岡、京都及東京等地蒐集資料</t>
  </si>
  <si>
    <t>108/01/29-108/02/13</t>
  </si>
  <si>
    <t>福岡(Fukuoka) 京都(Kyoto) 東京(Tokyo)</t>
  </si>
  <si>
    <t>朝鮮後期儒學的交錯──以陽明學、實學、性理學為中心_107-2410-H-001-100-MY3</t>
  </si>
  <si>
    <t>赴義大利羅馬蒐集資料,並進行參訪。</t>
  </si>
  <si>
    <t>108/03/26-108/04/06</t>
  </si>
  <si>
    <t>《漢語劄記》：馬若瑟與中國文學傳統_106-2410-H-001-100-MY2</t>
  </si>
  <si>
    <t>赴美國洛杉磯研究並蒐集資料。</t>
  </si>
  <si>
    <t>108/01/21-108/02/17</t>
  </si>
  <si>
    <t>赴印度班加羅爾International Centre for Theoretical Sciences(ICTS)參與COSMOLOGY - THE NEXT DECADE研討會議，進行計畫相關學術研討，以利發展在臺研究計畫進度。</t>
  </si>
  <si>
    <t>赴德國杜伊斯堡(Duisburg)Vertex公司參與ALMA原型天線/格陵蘭望遠鏡遷移至格陵蘭峰頂Summit Station天線拆裝相關工程研討及測試事宜。</t>
  </si>
  <si>
    <t>108/01/20-108/01/27</t>
  </si>
  <si>
    <t>杜伊斯堡(Duisburg)</t>
  </si>
  <si>
    <t>赴德國杜伊斯堡(Duisburg)Vertex公司參與ALMA原型天線/格陵蘭望遠鏡遷移至格陵蘭峰頂Summit Station天線拆裝相關工程可行性研討及測試事宜。</t>
  </si>
  <si>
    <t>108/01/17-108/01/29</t>
  </si>
  <si>
    <t>赴日本名古屋大學協同天文研究學者進行計畫相關學術研究，以利發展在臺研究計畫發展近況。</t>
  </si>
  <si>
    <t>108/01/29-108/02/19</t>
  </si>
  <si>
    <t>用阿塔卡瑪干涉陣列與JCMT天文台來研究絲狀結構到分子雲到原恆星系統內的磁場_107-2119-M-001-023-</t>
  </si>
  <si>
    <t>赴日本東京國立天文台(NAOJ)參與研討會議，進行計畫相關學術研討。</t>
  </si>
  <si>
    <t>108/02/26-108/03/02</t>
  </si>
  <si>
    <t>赴格陵蘭圖勒(Thule)空軍基地執行執行格陵蘭望遠鏡與接收機系統更新維護。</t>
  </si>
  <si>
    <t>108/02/13-108/02/24</t>
  </si>
  <si>
    <t>格陵蘭(Greenland)</t>
  </si>
  <si>
    <t>赴墨西哥莫雷利亞(Morelia)Instituto de Radioastronomía y Astrofísica, UNAM及智利聖地牙哥The Joint ALMA Observatory(JAO)進行阿塔卡瑪大型毫米及次毫米波陣列計畫(ALMA)相關天文觀測及研討，以利發展在臺研究計畫發展近況。</t>
  </si>
  <si>
    <t>107/12/23-108/02/12</t>
  </si>
  <si>
    <t>墨西哥(Mexico) 智利(Chile)</t>
  </si>
  <si>
    <t>莫雷利亞(Morelia) 聖地牙哥(Santiago)</t>
  </si>
  <si>
    <t>赴格陵蘭圖勒空軍基地(Thule Air Base)使用天體執行GLT性能調整及校準等建置相關工作，</t>
  </si>
  <si>
    <t>108/01/22-108/02/03</t>
  </si>
  <si>
    <t>赴格陵蘭圖勒空軍基地(Thule Air Base)使用天體執行GLT性能調整及校準等建置相關工作，並進行計畫相關觀測事宜。</t>
  </si>
  <si>
    <t>108/01/07-108/02/03</t>
  </si>
  <si>
    <t>赴美國加州舊金山、夏威夷希羅島(Hilo)、丹麥哥本哈根大學波爾研究所(Niels Bohr Institute)及印度班加羅爾印度天文學會(Astronomical Society of India)進行計畫相關學術交流。</t>
  </si>
  <si>
    <t>108/01/26-108/02/23</t>
  </si>
  <si>
    <t>美國(U.S.A.) 丹麥(Denmark) 印度(India)</t>
  </si>
  <si>
    <t>舊金山(San Francisco,California) 夏威夷州(State of Hawaii) 哥本哈根(Copenhagen) 邦加羅爾(Bangalore)</t>
  </si>
  <si>
    <t>赴美國劍橋哈佛史密松天文台(SAO)、加州舊金山、紐約市及印尼萬隆理工大學進行學術交流，並赴夏威夷希羅島陪同泰國National Astronomical Research Institute of Thailand(NARIT)天文研究學者訪視本所在夏威夷各計畫運轉情形，以利發展相關合作事宜，並赴丹麥哥本哈根進行事件視界望遠鏡計畫(EHT)研究進度研討，並報告本所在臺研究計畫發展近況。</t>
  </si>
  <si>
    <t>108/03/03-108/04/14</t>
  </si>
  <si>
    <t>美國(U.S.A.) 印尼(Indonesia) 丹麥(Denmark)</t>
  </si>
  <si>
    <t>劍橋(Cambridge,Massachusetts) 舊金山(San Francisco,California) 紐約市(New York,New York) 夏威夷州(State of Hawaii) 萬隆(Bandung) 哥本哈根(Copenhagen)</t>
  </si>
  <si>
    <t>前往智利聖地牙哥參加ALMA董事會及報告本所在臺天文研究計畫發展現況</t>
  </si>
  <si>
    <t>108/04/02-108/04/14</t>
  </si>
  <si>
    <t>美國(U.S.A.) 智利(Chile)</t>
  </si>
  <si>
    <t>劍橋(Cambridge,Massachusetts) 聖地牙哥(Santiago)</t>
  </si>
  <si>
    <t>赴日本札幌北海道大學進行計畫相關學術研究，以利發展在臺研究計畫發展進度。</t>
  </si>
  <si>
    <t>108/03/18-108/03/23</t>
  </si>
  <si>
    <t>札幌(Sapporo)</t>
  </si>
  <si>
    <t>史上最深的遠紅外線高紅移星系巡天_105-2112-M-001-029-MY3</t>
  </si>
  <si>
    <t>赴美國夏威夷毛納基峰使用JCMT望遠鏡進行觀測事宜，以利發展在臺研究計畫進度。</t>
  </si>
  <si>
    <t>108/03/20-108/04/01</t>
  </si>
  <si>
    <t>108/02/13-108/03/07</t>
  </si>
  <si>
    <t>國際合作時代的黑洞天文物理研究(2/5)_107-2923-M-001-009-</t>
  </si>
  <si>
    <t>赴美國華盛頓特區美國國家航空太空博物館進行事件視界望遠鏡計畫(EHT)研究進度研討，並報告本所在臺研究計畫發展近況。</t>
  </si>
  <si>
    <t>108/04/09-108/04/12</t>
  </si>
  <si>
    <t>鄰近主序後星普查計畫 (NESS)_107-2119-M-001-031-MY3</t>
  </si>
  <si>
    <t>赴德國加興(Garching)歐洲南方天文台(European Southern Observatory)協同天文研究學者進行計畫相關學術研究，並赴英國愛丁堡英國天文科技中心(UK Astronomy Technology Center)進行The Nearby Evolved Star Survey(NESS)計畫相關學術討論。</t>
  </si>
  <si>
    <t>108/01/19-108/04/11</t>
  </si>
  <si>
    <t>德國(Germany) 英國(United Kingdom)</t>
  </si>
  <si>
    <t>加興(Garching) 愛丁堡(Edinburgh)</t>
  </si>
  <si>
    <t>赴格陵蘭圖勒空軍基地(Thule Air Base)執行GLT性能調整及校準等建置相關工作。</t>
  </si>
  <si>
    <t>108/02/19-108/03/05</t>
  </si>
  <si>
    <t>赴日本東京國立天文台(NAOJ)參與研討會，並進行阿塔卡瑪大型毫米及次毫米波陣列計畫(ALMA)相關學術討論。</t>
  </si>
  <si>
    <t>108/03/24-108/03/27</t>
  </si>
  <si>
    <t>赴英國牛津大學參與2019 MaNGA collaboration meeting研討會議，進行學術交流，以利發展在臺研究計畫發展進度。</t>
  </si>
  <si>
    <t>108/02/26-108/03/03</t>
  </si>
  <si>
    <t>108/03/24-108/03/26</t>
  </si>
  <si>
    <t>原行星盤與系外行星系統形成之數值模擬（兩岸合作研究：太陽系天體與系外行星系統 — 系外行星、行星形成與演化）_105-2119-M-001-044-MY3</t>
  </si>
  <si>
    <t>赴美國加州大學柏克萊分校協同天文研究學者進行高等理論天文物理計畫相關學術研究。</t>
  </si>
  <si>
    <t>108/01/12-108/03/18</t>
  </si>
  <si>
    <t>柏克萊(Brkeley, California)</t>
  </si>
  <si>
    <t>赴格陵蘭圖勒空軍基地(Thule Air Base)執行GLT本體結構校準，並進行計畫相關觀測研究事宜。</t>
  </si>
  <si>
    <t>108/03/11-108/04/01</t>
  </si>
  <si>
    <t>赴英國愛丁堡英文天文科技中心(UK Astronomy Technology center)參與研討會議，進行The Nearby Evolved Star Survey(NESS)計畫相關學術討論。</t>
  </si>
  <si>
    <t>108/03/30-108/04/07</t>
  </si>
  <si>
    <t>愛丁堡(Edinburgh)</t>
  </si>
  <si>
    <t>赴日本東京大學柏市(Kashiwa)校區之Kavli IPMU機構、東京日本國立天文台(NAOJ)及名古屋大學進行天文計畫相關學術研究。</t>
  </si>
  <si>
    <t>108/01/05-108/01/18</t>
  </si>
  <si>
    <t>柏市(Kashiwa) 名古屋(Nagoya) 東京(Tokyo)</t>
  </si>
  <si>
    <t>赴南非共和國開普敦大學參與CARTA Software Face-to-Face meeting，進行計畫相關學術交流，以利發展在臺研究計畫發展近況。</t>
  </si>
  <si>
    <t>南非共和國(South Africa Rep)</t>
  </si>
  <si>
    <t>開普敦(Cope Town)</t>
  </si>
  <si>
    <t>赴南韓首爾Seoul Radio Astronomy Observatory執行特長基線干涉儀(VLBI)後端系統安裝相關事宜。</t>
  </si>
  <si>
    <t>108/03/05-108/03/09</t>
  </si>
  <si>
    <t>赴日本東京住友重機械工業公司參與格陵蘭望遠鏡(GLT)冷凍頭機芯更換技術訓練。</t>
  </si>
  <si>
    <t>108/05/21-108/05/23</t>
  </si>
  <si>
    <t>赴格陵蘭圖勒空軍基地(Thule Air Base)協助格陵蘭望遠鏡(GLT)計畫相關運轉操作、觀測事宜。</t>
  </si>
  <si>
    <t>108/03/24-108/04/16</t>
  </si>
  <si>
    <t>赴德國加興(Garching)歐洲南方天文台(European Southern Observatory)協同天文研究學者進行計畫相關學術研究。</t>
  </si>
  <si>
    <t>加興(Garching)</t>
  </si>
  <si>
    <t>赴格陵蘭圖勒空軍基地(Thule Air Base)執行格陵蘭望遠鏡碟形天線反射鏡片微調以進行影像量測分析及接收機等儀器防水防護工程。</t>
  </si>
  <si>
    <t>108/04/09-108/05/06</t>
  </si>
  <si>
    <t>以透過ALMA組成的毫米/次毫米波超長基線干涉儀，探測超高能伽瑪射線輻射區的位置與大小_107-2119-M-001-017-</t>
  </si>
  <si>
    <t>赴格陵蘭圖勒(Thule)空軍基地執行格陵蘭望遠鏡與接收機系統更新維護。</t>
  </si>
  <si>
    <t>108/04/17-108/04/28</t>
  </si>
  <si>
    <t>赴格陵蘭圖勒空軍基地(Thule Air Base)執行格陵蘭望遠鏡除冰系統及佈線系統安裝相關事宜。</t>
  </si>
  <si>
    <t>108/04/09-108/05/13</t>
  </si>
  <si>
    <t>赴德國杜伊斯堡(Duisburg)Vertex公司參與ALMA原型天線/格陵蘭望遠鏡遷移至格陵蘭峰頂Summit Station天線拆裝相關工程研討。</t>
  </si>
  <si>
    <t>108/01/21-108/01/31</t>
  </si>
  <si>
    <t>恆星形成最早期的吸積過程及噴流發射_107-2119-M-001-040-MY3</t>
  </si>
  <si>
    <t>赴南韓大田Korea Astronomy and Space Science Institute(KASI)、首爾大學進行計畫相關學術研究，以利發展在臺研究計畫發展近況。</t>
  </si>
  <si>
    <t>108/01/29-108/02/08</t>
  </si>
  <si>
    <t>大田(Daejon) 首爾(Seoul)</t>
  </si>
  <si>
    <t>ERG衛星低能量電子分析儀之運轉與科學研究_107-2111-M-001-004-</t>
  </si>
  <si>
    <t>赴日本東京宇宙航空研究開發機構宇宙科學研究部(JAXA/ISAS)進行計畫相關學術研討，並報告本所在臺研究計畫發展近況。</t>
  </si>
  <si>
    <t>108/01/19-108/02/02</t>
  </si>
  <si>
    <t>108/01/21-108/02/01</t>
  </si>
  <si>
    <t>「人文創新與社會實踐」網站資料庫維運與推廣計畫_106-2420-H-001-017-MY2</t>
  </si>
  <si>
    <t>為計畫所需，將隨同謝國興研究員前往日本京都拜會龍谷大學的「地域協働総合センター」，並參訪其合作場域，交流台日社會實踐經驗，收集相關文獻案例。賴員主要工作為全程協助記錄參訪交流過程，拍攝紀錄影片及製作等工作。</t>
  </si>
  <si>
    <t>108/05/12-108/05/16</t>
  </si>
  <si>
    <t>京都(Kyoto) 淡路島(Awaji-shima)</t>
  </si>
  <si>
    <t>為計畫所需將隨同謝國興研究員前往日本京都拜會龍谷大學的「地域協働総合センター」，並參訪其合作場域，交流台日社會實踐經驗，收集相關文獻案例。黃員主要負責行程規劃、聨絡等行政庶務工作。</t>
  </si>
  <si>
    <t>為配合科技部人社實踐計畫協助籌組「台日大學地方連結與社會實踐聯盟」工作需要，前往日本京都拜會龍谷大學的「地域協働総合センター」，並參訪其合作場域，進行台日社會實踐經驗的交流，收集相關文獻案例，以供國內實踐工作團隊與研究者參考。</t>
  </si>
  <si>
    <t>為計畫所需，將隨同謝國興研究員前往日本京都拜會龍谷大學的「地域協働総合センター」，並參訪其合作場域，交流台日社會實踐經驗，收集相關文獻案例。賴員主要負責採集日本案例與文獻、撰寫相關報導等工作。</t>
  </si>
  <si>
    <t>跨政權下帝國的協力商與臺灣南北城市商人勢力的競爭：以清末至日治初期臺南和臺北的郊商為中心_105-2410-H-001-059-MY3</t>
  </si>
  <si>
    <t>為執行科技部專題研究計畫「跨政權下帝國的協力商與臺灣南北商人勢力的競爭：以清末日治期臺南和臺北的郊商為中心」需要，前往新加坡的郊、九八行、會館、宗祠和寺廟以及新加坡國立大學等地進行文獻史料的蒐集及田野調查相關工作。</t>
  </si>
  <si>
    <t>將隨同本所許雪姬所長前往菲律賓馬尼拉，進行相關學術單位訪問，調查當地寺廟、會館、公所、郊、九八行、老宅地、歷史街區和宗祠等地，蒐集研究有關碑文和文獻，以及拜會、訪談郊商許藏春在馬尼拉的家族。</t>
  </si>
  <si>
    <t>108/05/31-108/06/04</t>
  </si>
  <si>
    <t>至日本名古屋參加2019日台植物生物學國際研討會，並發表論文。</t>
  </si>
  <si>
    <t>到日本神戶理化研究所執行實驗</t>
  </si>
  <si>
    <t>108/04/22-108/04/26</t>
  </si>
  <si>
    <t>神戶(Kobe)</t>
  </si>
  <si>
    <t>利用時間依賴的電流密度泛函理論，在低維材料中傳輸和光電發射_107-2112-M-001-033-</t>
  </si>
  <si>
    <t>赴俄羅斯the Center for Semiconductor Microelectronics of the Institute for Automation and Control Processes (IACP), Far-Eastern Branch of Russian Academy of Sciences (FEB RAS)進行學術交流與研究。</t>
  </si>
  <si>
    <t>108/01/03-108/02/12</t>
  </si>
  <si>
    <t>俄羅斯(Russia)</t>
  </si>
  <si>
    <t>海參崴(Vladivostok)</t>
  </si>
  <si>
    <t>快速核磁共振結構計算及構形轉變取樣之新穎幾何演算法(2/2) (計畫編號108-2911-I-001-503)</t>
  </si>
  <si>
    <t>於5月2日至5月7日與法國Rennes大學Prof. Antonio Mucherino進行學術交流與討論</t>
  </si>
  <si>
    <t>108/05/01-108/05/12</t>
  </si>
  <si>
    <t>西班牙(Spain) 荷蘭(Netherlands) 法國(France)</t>
  </si>
  <si>
    <t>格拉納達 阿姆斯特丹(Amsterdam) Rennes</t>
  </si>
  <si>
    <t>至美國華盛頓大學研究訪問</t>
  </si>
  <si>
    <t>108/04/02-108/04/22</t>
  </si>
  <si>
    <t>芝加哥(Chicago,Illinois) Saint Louis</t>
  </si>
  <si>
    <t>Feasibility study of Lectins for Probing Circulating Tumors Cells_28T-1071203-1C</t>
  </si>
  <si>
    <t>To discuss our on-going collaborative project on the role of CLEC18 in neurodegenerative diseases.</t>
  </si>
  <si>
    <t>108/03/24-108/03/31</t>
  </si>
  <si>
    <t>至史丹福大學洽談並協調蹲點事宜。</t>
  </si>
  <si>
    <t>108/02/16-108/03/18</t>
  </si>
  <si>
    <t>建立血液循環腫瘤細胞收集及細胞培養平台以進行同步個人化精準醫學診斷與治療(2/2)_107-2218-E-001-003-</t>
  </si>
  <si>
    <t>學術交流並洽談合作內容</t>
  </si>
  <si>
    <t>108/03/30-108/04/15</t>
  </si>
  <si>
    <t>闡明在額顳葉型失智症及肌萎縮性脊髓側索硬化症中由C9orf72六核?酸延長突變轉譯之雙胜?重複序列的堆疊及病理機制_105-2314-B-001-008-MY3</t>
  </si>
  <si>
    <t>前往日本參加RIKEN Symposium及參訪合作單位CBS.</t>
  </si>
  <si>
    <t>科技部人文及社會科學專題研究計畫調查研究資料整理與檢誤計畫：106至108年度部分_107-2420-H-001-002-MY3</t>
  </si>
  <si>
    <t>參加亞洲資料庫聯盟合作會議，就聯盟合作事宜、相關資料庫之建置、管理技術等進行討論與交流。主辦方亦特別邀請國際知名資料庫ICPSR及資料儲存平台Dataverse，來與聯盟成員交流其資料管理、儲存、分享的技術及經驗。</t>
  </si>
  <si>
    <t>108/01/24-108/01/27</t>
  </si>
  <si>
    <t>比較憲法政治視野下的「外來憲法」與自我治理_107-2410-H-001-039-MY2</t>
  </si>
  <si>
    <t>108/03/07-108/03/18</t>
  </si>
  <si>
    <t>資安特色中心暨聯盟-資安特色中心暨聯盟(2/3)_107-2218-E-001-005</t>
  </si>
  <si>
    <t>至日本東京情報通信研究機構（NICT）研習以及洽談合作研究的事宜</t>
  </si>
  <si>
    <t>108/04/14-108/04/18</t>
  </si>
  <si>
    <t>研究，邀請單位：日本東京情報通信研究機構（NICT）</t>
  </si>
  <si>
    <t>108/02/17-108/04/06</t>
  </si>
  <si>
    <t>至日本東京情報通信研究機構（NICT），進行「以虛擬化技術建立物聯網蜜網」，及結合資安與虛擬化網路平台之研究。</t>
  </si>
  <si>
    <t>108/04/14-108/04/23</t>
  </si>
  <si>
    <t>108/01/06-108/01/17</t>
  </si>
  <si>
    <t>108/02/17-108/02/23</t>
  </si>
  <si>
    <t>研究，邀請單位：德國TU Darmstadt/CYSEC</t>
  </si>
  <si>
    <t>108/01/17-108/02/15</t>
  </si>
  <si>
    <t>達姆施塔特</t>
  </si>
  <si>
    <t>研究，邀請單位：日本東京筑波大學/RIKEN(國立研究開發法人理化學研究所)</t>
  </si>
  <si>
    <t>108/02/02-108/02/12</t>
  </si>
  <si>
    <t>108/01/18-108/02/01</t>
  </si>
  <si>
    <t>108/01/04-108/01/28</t>
  </si>
  <si>
    <t>108/01/18-108/02/15</t>
  </si>
  <si>
    <t>研究，邀請單位：Information Security Lab, Electrical and Computing Engineering, Institute of Science and Engineering, Kanazawa University</t>
  </si>
  <si>
    <t>108/02/16-108/05/03</t>
  </si>
  <si>
    <t>金澤</t>
  </si>
  <si>
    <t>赴美國的Aerodyne公司學習Aerosol Mass Spectrometer( AMS)儀器操作使用和校正維護</t>
  </si>
  <si>
    <t>108/04/13-108/05/01</t>
  </si>
  <si>
    <t>Billerica</t>
  </si>
  <si>
    <t>學習Aerosol Mass Spectrometer儀器的操作使用和校正維護.</t>
  </si>
  <si>
    <t>TPP赴日本兵庫縣SPring-8進行實驗</t>
  </si>
  <si>
    <t>108/04/11-108/04/15</t>
  </si>
  <si>
    <t>兵庫縣(Hyogo)</t>
  </si>
  <si>
    <t>到日本Spring-8做蛋白質實驗</t>
  </si>
  <si>
    <t>108/04/10-108/04/13</t>
  </si>
  <si>
    <t>兵庫</t>
  </si>
  <si>
    <t>108/03/04-108/03/16</t>
  </si>
  <si>
    <t>法國(France) 西班牙(Spain)</t>
  </si>
  <si>
    <t>Grenoble 瓦倫西亞(Valencia)</t>
  </si>
  <si>
    <t>到法國ESRF(The European Synchrotron Radiation Facility)做蛋白質實驗及至德國馬爾堡大學學習實驗</t>
  </si>
  <si>
    <t>法國(France) 德國(Germany)</t>
  </si>
  <si>
    <t>Grenoble Marburg</t>
  </si>
  <si>
    <t>Taiwan Protein Project赴日本兵庫縣做實驗</t>
  </si>
  <si>
    <t>108/04/09-108/04/13</t>
  </si>
  <si>
    <t>Do experiment and collect data at SPring-8, SACLA, Japan</t>
  </si>
  <si>
    <t>Taiwan Protein Project赴日本兵庫縣SPring-8做實驗</t>
  </si>
  <si>
    <t>兵庫縣(Hyogo) 橫濱(Yokohama) 東京(Tokyo)</t>
  </si>
  <si>
    <t>108/05/23-108/06/01</t>
  </si>
  <si>
    <t>赴日本兵庫縣光都Spring-8執行蛋白質結構相關實驗</t>
  </si>
  <si>
    <t>108/05/13-108/05/15</t>
  </si>
  <si>
    <t>兵庫縣(Hyogo)光都</t>
  </si>
  <si>
    <t>兵庫縣光都</t>
  </si>
  <si>
    <t>Taiwan Protein Project赴日本兵庫縣SPring-8進行蛋白質實驗</t>
  </si>
  <si>
    <t>108/05/10-108/05/17</t>
  </si>
  <si>
    <t>橫濱(Yokohama) 兵庫縣 東京(Tokyo)</t>
  </si>
  <si>
    <t>5/24-5/25訪問Ochanomizu University+5/26-5/30 SP8做實驗+ 6/1-6/3訪問 Osaka University討論合作相關事宜。</t>
  </si>
  <si>
    <t>108/05/24-108/06/03</t>
  </si>
  <si>
    <t>大阪(Osaka) 東京(Tokyo) 兵庫縣</t>
  </si>
  <si>
    <t>執行TPP蛋白質研究計畫需前往日本SP8進行實驗數據收集，國家同步輻射中心補助機票款交通費及部分生活費，申請以本計畫補助差旅費差額。</t>
  </si>
  <si>
    <t>108/04/13-108/04/16</t>
  </si>
  <si>
    <t>英國倫敦The Institute of Cancer Research (ICR)癌症研究所討論台灣癌症登月計畫多體學數據整合分析與研 習</t>
  </si>
  <si>
    <t>赴英國倫敦癌症研究所研習台灣癌症登月計畫多體學數據分析與討論結果。 與陳玉如所長一同前往英國倫敦討論與研習台灣癌症登月計畫多體學數據整合分析，共同討論從轉錄體學至蛋白體學分析與數據視覺化之呈現與潛在生物標的之篩選，並將共同討論此數據之論文撰寫摘要。</t>
  </si>
  <si>
    <t>參加2019 MaxQuant Summer School教育訓練，學習運用免費軟體MaxQuant與Perseus進行蛋白質體定性定量分析與後續統計分析，加速對KEGG pathway, Gene Ontology,與network之分析。</t>
  </si>
  <si>
    <t>108/07/21-108/07/30</t>
  </si>
  <si>
    <t>赴美國University of Rochester Medical Center (URMC)研究討論</t>
  </si>
  <si>
    <t>108/11/24-108/11/28</t>
  </si>
  <si>
    <t>羅徹斯特</t>
  </si>
  <si>
    <t>台灣癌症登月計畫團隊須定期參加國際聯盟會議，預計每年兩次，報告癌症登月計畫執行進度，並和各個國家交流經驗及決議重大事項。</t>
  </si>
  <si>
    <t>108/09/11-108/09/22</t>
  </si>
  <si>
    <t>阿德雷德(Adelaide)</t>
  </si>
  <si>
    <t>赴美國紐約羅徹斯特大學醫學中心進行精準醫療質譜檢測技術交流。透過此交流，促進新技術和培訓的發展，並藉由國際交流促進蛋白質體學發展，以達到國際水準的醫療質譜檢測平台。</t>
  </si>
  <si>
    <t>108/11/24-108/11/29</t>
  </si>
  <si>
    <t>因應國際「癌症登月計畫」已經開展，台灣癌症登月計畫團隊須定期參加國際聯盟會議，預計每年兩次，報告癌症登月計畫執行進度，並和各個國家交流經驗及決議重大事項。</t>
  </si>
  <si>
    <t>應邀澳洲出席18 th Human Proteome Organization World Congress (HUPO 2019)擔任邀請講者。</t>
  </si>
  <si>
    <t>赴美國University of Rochester Medical Center (URMC), Rochester討論台灣癌症登月計畫中共同合作之質譜在臨床上應用的研究。</t>
  </si>
  <si>
    <t>癌症登月計畫交流、HUPO國際研討會、論文發表交流</t>
  </si>
  <si>
    <t>108/09/11-108/09/20</t>
  </si>
  <si>
    <t>赴以色列The Hebrew University of Jerusalem學術交流</t>
  </si>
  <si>
    <t>108/12/01-108/12/06</t>
  </si>
  <si>
    <t>台拉維夫(Tel Aviv)</t>
  </si>
  <si>
    <t>陪同劉扶東副院長率團赴日本京都大學出席簽約典禮及雙邊會議。</t>
  </si>
  <si>
    <t>108/12/17-108/12/19</t>
  </si>
  <si>
    <t>NBA10854001-01_ICPC Cancer Moonshot 2019_HPP Post-Congress Workshop</t>
  </si>
  <si>
    <t>108/09/12-108/09/22</t>
  </si>
  <si>
    <t>NBA10854001-01_International Cancer Proteogenomics Consortium_HUPO 2018</t>
  </si>
  <si>
    <t>參訪美國紐約羅徹斯特大學醫學中心CLIA實驗室及精準醫療質譜檢測技術交流</t>
  </si>
  <si>
    <t>彙整研究成果前往美國出席ASMS研討會張貼研究海報，與個國與會人員進行技術、學術發展等相關交流及討論。</t>
  </si>
  <si>
    <t>108/05/30-108/06/10</t>
  </si>
  <si>
    <t>參加BioJapan2019。 期間將參加主辦單位舉辦之研討會，並於展場留意世界各國及各大機構於生醫領域之發展。</t>
  </si>
  <si>
    <t>108/10/08-108/10/14</t>
  </si>
  <si>
    <t>BioJapan 2019 此行將參與策展大會安排之研討會，著重於生物材料，生物燃料，藥物生產等生物經濟特展，並尋求與台灣生醫產業的連結</t>
  </si>
  <si>
    <t>108/10/08-108/10/10</t>
  </si>
  <si>
    <t>代表台灣參加國際蛋白質工程中心網絡（International Network of Protein Engineering Centers）年會</t>
  </si>
  <si>
    <t>108/12/04-108/12/08</t>
  </si>
  <si>
    <t>坎培拉(Canberra)</t>
  </si>
  <si>
    <t>108/06/15-108/06/30</t>
  </si>
  <si>
    <t>巴塞隆納(Barcelona)</t>
  </si>
  <si>
    <t>受邀於大會演講</t>
  </si>
  <si>
    <t>108/08/18-108/08/22</t>
  </si>
  <si>
    <t>參與FAOBMB國際研討會，發表本實驗室在膜蛋白技術上之實驗研究成果並與國外學者交流，吸收新知並引進相關技術。</t>
  </si>
  <si>
    <t>108/08/18-108/08/23</t>
  </si>
  <si>
    <t>為促進台灣生技醫藥領域永續發展，TSPA國際合作組邀請各領域之學者專家至27th FAOBMB &amp; 44th MSBMB Conference，進行台灣和全球生技醫藥界的互動交流及商業合作，理解全球生技產業趨勢並提升台灣生技產業之國際能見度。</t>
  </si>
  <si>
    <t>108/08/18-108/08/26</t>
  </si>
  <si>
    <t>受邀參加「5th Taiwan-Japan Academic Research Organization Workshop」擔任講者，亦藉機能與日方交流研究成果，以期有進一步的合作發展。</t>
  </si>
  <si>
    <t>108/09/25-108/09/26</t>
  </si>
  <si>
    <t>仙台</t>
  </si>
  <si>
    <t>參加27th FAOBMB &amp; 44th MSBMB Conference IUBMB Special Symposia並進行壁報論文發表</t>
  </si>
  <si>
    <t>108/09/25-108/09/27</t>
  </si>
  <si>
    <t>NBA10855006-02(55/)_歐美亞澳非洲_定期會議_生技醫藥轉譯創新發展計畫 。27th FAOBMB &amp; 44th MSBMB International Conference invite speaker</t>
  </si>
  <si>
    <t>108/08/18-108/08/24</t>
  </si>
  <si>
    <t>赴日本參加九州大學舉辦的The 8th JAPAN MEDICAL INNOVATION PROGRAM 2019。活動期間將由九州大學安排參觀五間日本生技相關公司，與九州大學生醫相關研究機構。</t>
  </si>
  <si>
    <t>108/11/24-108/11/30</t>
  </si>
  <si>
    <t>福岡(Fukuoka) 熊本(Kumamoto) 鹿兒島(Kagoshima) 鳥栖市(Tosu City)</t>
  </si>
  <si>
    <t>108年8月15日至8月18日，出席於馬來西亞舉行的【Young Scientist Program (YSP) for 27th Federation of National Societies of Biochemistry and Molecular Biology in the Asian and Oceanian Region (FAOBMB)】，</t>
  </si>
  <si>
    <t>108/08/14-108/08/26</t>
  </si>
  <si>
    <t>為促進臺日雙邊合作參訪札幌大學洽談再生醫學合作以及參與「5th Taiwan-Japan Academic Research Organization Workshop」。本次出差主要工作為協助參訪聯繫、會議記錄及研討會辦理等事項。</t>
  </si>
  <si>
    <t>108/09/23-108/09/27</t>
  </si>
  <si>
    <t>仙台 札幌(Sapporo)</t>
  </si>
  <si>
    <t>108/09/24-108/09/27</t>
  </si>
  <si>
    <t>受邀參加「5th Taiwan-Japan Academic Research Organization Workshop」擔任講者，亦藉機能與日方交流研究，以期有進一步的合作發展。</t>
  </si>
  <si>
    <t>為促進臺日雙邊合作參訪札幌大學洽談再生醫學合作以及參與「5th Taiwan-Japan Academic Research Organization Workshop」。本次出差主要工作為協助參訪聯繫及研討會辦理等事項。</t>
  </si>
  <si>
    <t>參加會議。</t>
  </si>
  <si>
    <t>108/04/07-108/04/22</t>
  </si>
  <si>
    <t>SLAS2019 International Conference &amp; Exhibition國際研討會</t>
  </si>
  <si>
    <t>108/01/31-108/02/12</t>
  </si>
  <si>
    <t>108/09/25-108/09/28</t>
  </si>
  <si>
    <t>108/06/02-108/06/08</t>
  </si>
  <si>
    <t>參加Air&amp;Waster Management Association's 112th Annual Conference</t>
  </si>
  <si>
    <t>108/06/23-108/06/30</t>
  </si>
  <si>
    <t>魁北克(Quebec)</t>
  </si>
  <si>
    <t>1. 參加第67屆質譜學會年會並發表壁報論文 2. 參訪美國田納西大學材料科學與工程學系</t>
  </si>
  <si>
    <t>108/05/31-108/06/27</t>
  </si>
  <si>
    <t>亞特蘭大(Atlanta,Georgia) Tennessee (University of Tennessee)</t>
  </si>
  <si>
    <t>108/06/01-108/06/08</t>
  </si>
  <si>
    <t>參加 Air &amp; Waste Management Association's 112th Annual Conference &amp; Exhibition</t>
  </si>
  <si>
    <t>108/10/26-108/11/04</t>
  </si>
  <si>
    <t>格里斯代數及OZ類有理頂點算子代數的研究_107-2115-M-001-003-MY3</t>
  </si>
  <si>
    <t>108/07/18-108/07/29</t>
  </si>
  <si>
    <t>Kusatsu 東京(Tokyo) Sendai</t>
  </si>
  <si>
    <t>自相似代數螺旋渦流的存在性及其漸近(艾沃克)_105-2115-M-001-007-MY3</t>
  </si>
  <si>
    <t>7/7-7/12受邀出席會議「Equadiff 2019」 7/13-7/19受邀出席會議「International Congress on Industrial and Applied Math 2019」</t>
  </si>
  <si>
    <t>108/07/01-108/07/24</t>
  </si>
  <si>
    <t>荷蘭(Netherlands) 西班牙(Spain)</t>
  </si>
  <si>
    <t>Leiden 瓦倫西亞(Valencia)</t>
  </si>
  <si>
    <t>仿射半群代數(黃一樵)_107-2115-M-001-007-</t>
  </si>
  <si>
    <t>108/07/26-108/08/07</t>
  </si>
  <si>
    <t>伯明翰(Birmingham)</t>
  </si>
  <si>
    <t>模型式的反分圓岩澤理論(?罈坉?_103-2115-M-001-013-MY5</t>
  </si>
  <si>
    <t>108/07/13-108/07/21</t>
  </si>
  <si>
    <t>Genova</t>
  </si>
  <si>
    <t>5/16-5/30 受邀至蘇州大學移地研究 5/31-6/2 受邀參加 2019 POSTECH-PMI and NCTS joint workshop on number theory</t>
  </si>
  <si>
    <t>108/05/16-108/06/02</t>
  </si>
  <si>
    <t>南韓(Korea) 中國大陸(China)</t>
  </si>
  <si>
    <t>Pohang 蘇州(Suzhou)</t>
  </si>
  <si>
    <t>受邀參加「Workshop on Stochastic Analysis and Applications」</t>
  </si>
  <si>
    <t>108/06/02-108/06/06</t>
  </si>
  <si>
    <t>受邀參加「p-adic modular forms and p-adic L-functions」</t>
  </si>
  <si>
    <t>108/05/18-108/05/26</t>
  </si>
  <si>
    <t>米蘭(Milan)(04/01-08/31)</t>
  </si>
  <si>
    <t>Diophantine 逼近問題及整數點(王姿月)_106-2115-M-001-001-MY2</t>
  </si>
  <si>
    <t>108/06/09-108/06/13</t>
  </si>
  <si>
    <t>5/29-6/1受邀參加 POSTECH PMI(Korea) - NCTS(Taiwan) Joint Workshop on Number Theory 6/2-6/5會後於 POSTECH 移地研究</t>
  </si>
  <si>
    <t>108/05/29-108/06/05</t>
  </si>
  <si>
    <t>Pohang</t>
  </si>
  <si>
    <t>108/05/18-108/06/18</t>
  </si>
  <si>
    <t>德國(Germany) 俄羅斯(Russia) 義大利(Italy)</t>
  </si>
  <si>
    <t>Oberwolfach 莫斯科(Moscow) Maiori</t>
  </si>
  <si>
    <t>2019/7/5-9/30受邀至Stanford University 移地研究 2019/7/9-7/12受邀出席國際會議Conference on Nonlinear PDEs and Applications</t>
  </si>
  <si>
    <t>108/07/05-108/09/30</t>
  </si>
  <si>
    <t>Ann Arbor, Michigan Stanford</t>
  </si>
  <si>
    <t>與Mordell-Lang問題相關的一些主題(孫嘉梁)_107-2115-M-001-013-MY2</t>
  </si>
  <si>
    <t>受邀出席國際會議 East Asia Number Theory Conference 2019</t>
  </si>
  <si>
    <t>108/08/24-108/08/31</t>
  </si>
  <si>
    <t>擾動KPII 線形波方程式的?瑼L函數(吳德琪)_107-2115-M-001-002-</t>
  </si>
  <si>
    <t>受邀出席國際會議 Classical and Quantum Integrability</t>
  </si>
  <si>
    <t>108/08/31-108/09/13</t>
  </si>
  <si>
    <t>Dijon</t>
  </si>
  <si>
    <t>p進三重積L函數以及對角cycle(謝銘倫)_108-2628-M-001-009-MY4</t>
  </si>
  <si>
    <t>受邀出席國際會議 Regulators in Niseko 2019</t>
  </si>
  <si>
    <t>108/09/08-108/09/14</t>
  </si>
  <si>
    <t>Niseko</t>
  </si>
  <si>
    <t>前往日本富山（Toyoma）出席國際會議（Tropics in Astroparticle and Underground Physiscs, TAUP2019）並發表專題演講。</t>
  </si>
  <si>
    <t>108/09/08-108/09/15</t>
  </si>
  <si>
    <t>日本富山（Toyoma）</t>
  </si>
  <si>
    <t>新穎超導物理研究—探索超高溫超導體(3/4)_108-2633-M-001-001-</t>
  </si>
  <si>
    <t>赴韓國Gyeongju出席「The 38thInternational Conference on Thermoelectrics and the 4th Asian Conference on Thermoelectrics (ICT/ACT 2019)」會議，並發表論文。</t>
  </si>
  <si>
    <t>108/06/30-108/07/04</t>
  </si>
  <si>
    <t>慶州(Kyongju)</t>
  </si>
  <si>
    <t>以三維多空間尺度方式操作及影像學技術來研究腫瘤微環境內的細胞互動機制-發展重組的3-D平台來在研究腫瘤微環境體系結構相關的細胞行為和細胞間的相互作用(總計畫暨子計畫一)(3/3)_107-2627-M-001-001-</t>
  </si>
  <si>
    <t>郭青齡副研究員擬於2019-03-23至2019-03-29赴日本神戶RIKEN Center BDR Symposium 2019進行學術、技術交流。</t>
  </si>
  <si>
    <t>108/03/23-108/03/29</t>
  </si>
  <si>
    <t>博士後研究曾喬毓小姐擬於2019-03-23至2019-03-30赴日本神戶參加BDR Symposium 2019會議</t>
  </si>
  <si>
    <t>108/03/23-108/03/30</t>
  </si>
  <si>
    <t>郭青齡副研究員擬於2019-11-9至2019-11-13赴日本神戶Cell &amp; Gene Therapy Asia 2019進行學術、技術交流</t>
  </si>
  <si>
    <t>108/11/09-108/11/13</t>
  </si>
  <si>
    <t>研發新穎奈米平台篩選生物辨識元素及多工感測_107-2923-M-001-011-MY3</t>
  </si>
  <si>
    <t>參加The 23rd International Conference on Miniaturized Systems for Chemistry and Life Sciences (µTAS 2019)並發表論文。</t>
  </si>
  <si>
    <t>108/10/16-108/11/02</t>
  </si>
  <si>
    <t>巴塞爾(Basel)</t>
  </si>
  <si>
    <t>台北醫學大學研究生(博士) 彭學薇擬於2019-11-9至2019-11-13赴日本神戶Cell &amp; Gene Therapy Asia 2019進行學術、技術交流</t>
  </si>
  <si>
    <t>參與45th International Conference on Micro &amp; Nano Engineering (MNE2019)並發表論文。</t>
  </si>
  <si>
    <t>108/09/22-108/09/28</t>
  </si>
  <si>
    <t>Rhodes</t>
  </si>
  <si>
    <t>參加12th International Symposium on Atomic Level Characterizations for New Materials and Devices '19 (ALC'19) 並發表論文。</t>
  </si>
  <si>
    <t>108/10/19-108/11/03</t>
  </si>
  <si>
    <t>視網膜中的適應與預期性動力學_108-2112-M-001-029-MY3</t>
  </si>
  <si>
    <t>陳志強研究員擬於2019年11/16至11/28赴馬來西亞和泰國因公出國.於11/17至11/21赴馬來西亞古晉市參加APPC2019 Meeting會議.於11/25至11/27赴泰國曼谷Chulalongkorn University大學進行學術、技術交流</t>
  </si>
  <si>
    <t>108/11/16-108/11/28</t>
  </si>
  <si>
    <t>馬來西亞(Malaysia) 泰國(Thailand)</t>
  </si>
  <si>
    <t>Kuching 曼谷(Bangkok)</t>
  </si>
  <si>
    <t>赴澳洲雪梨參加「ISO/TC 229 Meeting」，進行研究參訪及學術技術交流。</t>
  </si>
  <si>
    <t>陳彥龍副研究員擬於2019-11-22至2019-11-30赴美國西雅圖參加the 72nd Annual Meeting of the APS Division of Fluid Dynamics會議</t>
  </si>
  <si>
    <t>108/11/22-108/11/30</t>
  </si>
  <si>
    <t>赴Mie University(日本三重大學)與赴日本名古屋Nagoya University進行學術交流研究。</t>
  </si>
  <si>
    <t>108/11/19-108/11/22</t>
  </si>
  <si>
    <t>Kurima-Machiya, Tsu 名古屋(Nagoya)</t>
  </si>
  <si>
    <t>利用微奈米流道研究細菌的形態可塑性及其機制_105-2112-M-001-021-MY3</t>
  </si>
  <si>
    <t>赴美國鳳凰城參與MRS 2019 Spring conference與赴Physics Department of Princeton University, Newark, NJ(紐華克 紐澤西州)進行移地研究。</t>
  </si>
  <si>
    <t>108/04/18-108/05/02</t>
  </si>
  <si>
    <t>鳳凰城(Phoenix,Arizona) Newark,NJ(紐華克 紐澤西州)</t>
  </si>
  <si>
    <t>赴阿根廷布宜諾斯艾利斯參與StatPhys 27 Conference、赴秘魯利馬參與BPS thematic meeting-Revisiting the Central Dogma of Molecular Biology at the Single-Molecule Level與赴UTEC and UPCH、 University of Buenos Aires 進行學術交流研究。</t>
  </si>
  <si>
    <t>108/07/07-108/08/16</t>
  </si>
  <si>
    <t>阿根廷(Argentina) 秘魯(Peru)</t>
  </si>
  <si>
    <t>布宜諾斯艾利斯(Buenos Aires) 利馬(Lima)</t>
  </si>
  <si>
    <t>探索低維度物質與其介面的物理現象_105-2112-M-001-012-MY3</t>
  </si>
  <si>
    <t>受邀前赴美國參加2019年美國物理年會(March meeting of American Physical Society)並發表論文</t>
  </si>
  <si>
    <t>108/02/27-108/03/14</t>
  </si>
  <si>
    <t>狗腎臟表皮細胞上緊密結構的彎曲度與頂端收縮作用力的關係_107-2112-M-001-027-</t>
  </si>
  <si>
    <t>林耿慧副研究員擬於2019-02-27至2019-03-08赴美國，於3/2至3/6赴美國巴爾的摩參加the Biophysical Society 63rd Annual Meeting會議並發表論文，</t>
  </si>
  <si>
    <t>108/02/27-108/03/08</t>
  </si>
  <si>
    <t>巴爾的摩(Baltimore,Maryland) 費城(Philadelphia,Pennsylvania)</t>
  </si>
  <si>
    <t>杜其永研究員擬於108年4月1日至108年5月10日赴斯洛維尼亞和匈牙利因公出國，於4/8-4/11至斯洛維尼亞的Portoroz參加AERC 2019會議並發表論文</t>
  </si>
  <si>
    <t>108/04/01-108/05/10</t>
  </si>
  <si>
    <t>斯洛維尼亞(Slovenia) 匈牙利(Hungary)</t>
  </si>
  <si>
    <t>Portoroz 布達佩斯(Budapest)</t>
  </si>
  <si>
    <t>本所研究助理朱昱光先生於2019年4月16日至4月23日前往日本東京大學參與KAGRA研究計畫相關討論會議工作，建置KAGRA實驗設備</t>
  </si>
  <si>
    <t>108/04/16-108/04/23</t>
  </si>
  <si>
    <t>副研究員灰野禎一博士擬於2019年4月16日至4月23日前往日本東京大學從事KAGRA計畫之相關學術工作會議</t>
  </si>
  <si>
    <t>魅重子的非輕子弱衰變及生命期_107-2119-M-001-034-</t>
  </si>
  <si>
    <t>前往英國德罕(Durham)參加學術會議暨發表專題論文演講。</t>
  </si>
  <si>
    <t>108/04/01-108/04/07</t>
  </si>
  <si>
    <t>德罕(Durham)</t>
  </si>
  <si>
    <t>前往印度參加學術國際會議暨發表學術專題論文演講。</t>
  </si>
  <si>
    <t>108/07/14-108/07/21</t>
  </si>
  <si>
    <t>海得拉巴(Hyderabad) 清奈(Chennai)</t>
  </si>
  <si>
    <t>臺美PIRE計畫：研發嶄新高純鍺探測器以開展前沿粒子物理稀有事例實驗_106-2923-M-001-006-MY5</t>
  </si>
  <si>
    <t>博士後研究李浩斌先生擬於2019年7月29日至8月4日前往瑞典斯德哥爾摩（Stockholm）之斯德哥爾摩大學（Stockholm Univ.）出席國際會議（PHYSTAT Dark Matter 2019）並發表論文。</t>
  </si>
  <si>
    <t>108/07/29-108/08/04</t>
  </si>
  <si>
    <t>瑞典(Sweden)</t>
  </si>
  <si>
    <t>斯德哥爾摩(Stockholm)</t>
  </si>
  <si>
    <t>赴瑞士巴塞爾參加The 23rd International Conference on Miniaturized Systems for Chemistry and Life Sciences (µTAS 2019)。</t>
  </si>
  <si>
    <t>108/10/26-108/11/10</t>
  </si>
  <si>
    <t>瑞士(Switzerland) 法國(France)</t>
  </si>
  <si>
    <t>巴塞爾(Basel) 土魯斯(Toulouse)</t>
  </si>
  <si>
    <t>金屬薄膜與二維材料基底的電子結構相互影響之研究_106-2112-M-001-004-MY3</t>
  </si>
  <si>
    <t>赴瑞典馬爾默(Malmö)參加 IVC-21 並發表論文。</t>
  </si>
  <si>
    <t>108/06/29-108/07/06</t>
  </si>
  <si>
    <t>馬爾默(Malmö)</t>
  </si>
  <si>
    <t>多光子低輻射量子態操控_106-2112-M-001-005-MY3</t>
  </si>
  <si>
    <t>受邀赴美國出席「50th Annual DAMOP Meeting」會議並發表論文</t>
  </si>
  <si>
    <t>108/05/26-108/06/01</t>
  </si>
  <si>
    <t>Milwaukee, Wisconsin</t>
  </si>
  <si>
    <t>杜其永研究員擬於108年6月24日至108年7月14日赴西班牙納瓦拉大學參加Traffic and Granular Flow 2019 會議</t>
  </si>
  <si>
    <t>108/06/24-108/07/14</t>
  </si>
  <si>
    <t>潘普洛納</t>
  </si>
  <si>
    <t>探索多信息宇宙-從參與重 波天文台的建設到大型巡 望遠鏡(2/5)_MOST107-2628-M-007-003</t>
  </si>
  <si>
    <t>副研究員灰野禎一博士擬於2019年3月5日至3月16日前往日本神岡KAGRA實驗室從事KAGRA計畫之相關學術工作會議，於3月17日至3月20日於美國芝加哥參與LIGO合作會議之討論後返日繼續 KAGRA討論工作，於3月22日返CERN。</t>
  </si>
  <si>
    <t>108/03/05-108/03/22</t>
  </si>
  <si>
    <t>日本(Japan) 美國(U.S.A.)</t>
  </si>
  <si>
    <t>岐阜 芝加哥(Chicago,Illinois)</t>
  </si>
  <si>
    <t>透過Drell-Yan過程量測核?l與介子的夸克多維度分布(II)_107-2119-M-001-027-</t>
  </si>
  <si>
    <t>博士後研究夸瑪莎小姐擬於2019年6月23日至7月5日赴越南平定省歸仁市（Quy Nhon, Binh Dinh）參加國際會議（EDS Blois 2019: The 18th conference on elastic and diffractive scattering）並發表專題演講。</t>
  </si>
  <si>
    <t>108/06/23-108/07/05</t>
  </si>
  <si>
    <t>平定省歸仁市（Quy Nhon, Binh Dinh）</t>
  </si>
  <si>
    <t>ANF為亞洲地區國家在奈米科技領域的一個溝通交流平台，本所執行科技部108年度「奈米科技學門研究發展及推動計畫」代表台灣參與ANF各項事務及活動，邀請李定國特聘研究員參與本次於菲律賓大雅臺市舉辦的2019 ANFoS活動。</t>
  </si>
  <si>
    <t>108/05/26-108/05/29</t>
  </si>
  <si>
    <t>Tagaytay</t>
  </si>
  <si>
    <t>本所副研究員灰野禎一博士擬於2019年2月14日至2月16日前往義大利佩魯賈進行KAGRA工作討論與交流會議。</t>
  </si>
  <si>
    <t>108/02/14-108/02/16</t>
  </si>
  <si>
    <t>Perugia</t>
  </si>
  <si>
    <t>赴美國California出席「2019 SPIE Optics + Photonics」及「AAAFM-UCLA-19」會議，並發表論文。</t>
  </si>
  <si>
    <t>108/08/10-108/08/24</t>
  </si>
  <si>
    <t>聖地牙哥(San Diego,California) 洛杉磯(Los Angeles,California)</t>
  </si>
  <si>
    <t>碰撞機、宇宙學、及引力學之非平衡物理-宇宙暴脹的?咫O波_107-2119-M-001-030-</t>
  </si>
  <si>
    <t>前往南韓江陵市(Gangneung)參加國際暑期學校暨發表學術專題論文演講</t>
  </si>
  <si>
    <t>江陵市Gangneung</t>
  </si>
  <si>
    <t>赴美國Ventura, CA參與Gordon Research Conference (GRC)-2019 Complex Active and Adaptive Material Systems。</t>
  </si>
  <si>
    <t>Ventura, CA</t>
  </si>
  <si>
    <t>多組分冷原子氣體與超導理論_107-2112-M-001-035-MY3</t>
  </si>
  <si>
    <t>日本出席「International Conference on Strongly Correlated Electron Systems 2019」國際會議並發表論文</t>
  </si>
  <si>
    <t>108/09/22-108/09/29</t>
  </si>
  <si>
    <t>岡山(Okayama)</t>
  </si>
  <si>
    <t>以阿爾法磁譜儀和大規模低溫重力波望遠鏡挑戰基本物理與宇宙論-2_107-2119-M-001-036-</t>
  </si>
  <si>
    <t>本所博士後研究羅令崴先生擬於2019年8月20日至8月25日前往日本富山參與KAGRA計畫工作討論會議。</t>
  </si>
  <si>
    <t>108/08/20-108/08/25</t>
  </si>
  <si>
    <t>富山</t>
  </si>
  <si>
    <t>2019-2020 proposal discussion and discuss the future of M-ERA.NET beyond 2021.</t>
  </si>
  <si>
    <t>108/09/17-108/09/22</t>
  </si>
  <si>
    <t>拉脫維亞(Latvia)</t>
  </si>
  <si>
    <t>里加(Riga)</t>
  </si>
  <si>
    <t>磁性材料微小結構中磁振子的產生，傳遞，與磁單元的交互作用之研究_108-2112-M-001-026-MY3</t>
  </si>
  <si>
    <t>出席「2019磁性會議（2019 Annual Conference on Magnetism and Magnetic Materials)，並發表論文。</t>
  </si>
  <si>
    <t>108/11/03-108/11/14</t>
  </si>
  <si>
    <t>拉斯維加斯 奧斯丁(Austin, Texas)</t>
  </si>
  <si>
    <t>出席「Joint European Magnetic Symposia」會議並發表論文。</t>
  </si>
  <si>
    <t>108/08/24-108/09/05</t>
  </si>
  <si>
    <t>瑞典(Sweden) 法國(France)</t>
  </si>
  <si>
    <t>Uppsala 巴黎(Paris)</t>
  </si>
  <si>
    <t>副研究員灰野禎一博士擬於2019年9月2日至9月5日前往德國漢諾威進行KAGRA計畫之雷射系統架設等相關討論會議工作。</t>
  </si>
  <si>
    <t>108/09/02-108/09/05</t>
  </si>
  <si>
    <t>赴瑞典，馬爾摩(Malmo, Sweden)參加The 21th International Vacuum Congress (IVC-21)並發表論文。</t>
  </si>
  <si>
    <t>108/06/28-108/07/07</t>
  </si>
  <si>
    <t>馬爾摩(Malmo)</t>
  </si>
  <si>
    <t>108/06/30-108/07/10</t>
  </si>
  <si>
    <t>單原子離子源的聚焦離子束系統開發(3/3)_107-2119-M-001-003-</t>
  </si>
  <si>
    <t>108/10/19-108/10/27</t>
  </si>
  <si>
    <t>參加Microscopy &amp; Microanalysis 2019 Meeting 並發表論文。</t>
  </si>
  <si>
    <t>108/08/03-108/08/11</t>
  </si>
  <si>
    <t>波特蘭(Portland, Oregon) 柏克萊(Brkeley, California)</t>
  </si>
  <si>
    <t>赴日本金澤大學進行學術交流與赴日本京都參加12th International Symposium on Atomic Level Characterizations for New Materials and Devices '19 (ALC'19) 並成邀請講者。</t>
  </si>
  <si>
    <t>108/10/16-108/10/26</t>
  </si>
  <si>
    <t>京都(Kyoto) 金澤</t>
  </si>
  <si>
    <t>可激發網路中的韻律記憶和臨界動態研究_105-2112-M-001-017-MY3</t>
  </si>
  <si>
    <t>赴芝加哥參加the 49th Annual Meeting of the Society for Neuroscience會議</t>
  </si>
  <si>
    <t>108/10/18-108/10/30</t>
  </si>
  <si>
    <t>補助編號：108-2914-I-001-001-A1</t>
  </si>
  <si>
    <t>赴美波士頓參加American Physical Society March Meeting 2019</t>
  </si>
  <si>
    <t>108/03/01-108/03/09</t>
  </si>
  <si>
    <t>應用新穎合成胜?與胜?修飾之奈米粒子來抑制亨丁頓氏舞蹈症中的蛋白錯誤堆疊_106-2628-M-001-002-MY3</t>
  </si>
  <si>
    <t>326A17　應用新穎合成胜肽與胜肽修飾之奈米粒子來抑制亨丁頓氏舞蹈症中的蛋白錯誤堆疊</t>
  </si>
  <si>
    <t>108/06/28-108/07/08</t>
  </si>
  <si>
    <t>結構及功能性探討痘病毒蛋白質A26調控病毒入侵途徑II_107-2113-M-001-017-</t>
  </si>
  <si>
    <t>The APNMR Symposium is the signature event that brings the Asia-Pacific NMR community together and promotes international scientific exchange between participating countries, and counties world-wide.</t>
  </si>
  <si>
    <t>108/07/03-108/07/08</t>
  </si>
  <si>
    <t>降解生質原料為芳香族小分子－過渡金屬錯合物在綠色環境下 催化氧化斷裂木質 中-O-4鍵結之研究(3/3)_106-2113-M-001-001</t>
  </si>
  <si>
    <t>出席國際學術會議 47th IUPAC Congress</t>
  </si>
  <si>
    <t>108/07/06-108/07/14</t>
  </si>
  <si>
    <t>以深度蛋白體學技術建構數位化癌症精準醫學之訊息傳遞路徑圖_107-2113-M-001-023-MY3</t>
  </si>
  <si>
    <t>參加67th ASMS Conference on Mass Spectrometry and Allied Topics，並發表 論文壁報。</t>
  </si>
  <si>
    <t>108/06/01-108/06/10</t>
  </si>
  <si>
    <t>弱光照、水相染敏型太陽能電池與鈣鈦礦電池電洞傳輸材料_107-2113-M-001-011-</t>
  </si>
  <si>
    <t>T attend the 3rd international conference on nanotechnology and materials science 2019 in Rome Italy</t>
  </si>
  <si>
    <t>108/07/19-108/07/29</t>
  </si>
  <si>
    <t>新型遠距臨基於alpha-選擇性醣鏈結反應之研發與應用_106-2113-M-001-009-MY2</t>
  </si>
  <si>
    <t>For oral presentation of my work at the 20th European Carbohydrate Symposium</t>
  </si>
  <si>
    <t>108/06/28-108/07/06</t>
  </si>
  <si>
    <t>Leiden</t>
  </si>
  <si>
    <t>以生物無機化合物及功能性材料整合為高效率能源及替代燃料製備系統_106-2113-M-001-031-MY3</t>
  </si>
  <si>
    <t>Over the years the conference has become the globally leading event for the homogeneous transition metal catalysis community, for both scientists in academia and in industry.</t>
  </si>
  <si>
    <t>108/07/19-108/07/31</t>
  </si>
  <si>
    <t>以銅基雙金屬奈米觸媒在溫和條件下改善二氧化碳還原的轉化率與產物選擇性_108-2628-M-001-005-MY3</t>
  </si>
  <si>
    <t>參加第258屆美國化學年會 在會議中擔任邀請演講者,並與其他學者進行學術交流</t>
  </si>
  <si>
    <t>從藍色螢光主體材料、白金錯合物摻混物、元件架構改進混合白光有機發光二極體_106-2113-M-001-016-MY3</t>
  </si>
  <si>
    <t>從藍色螢光主體材料、白金錯合物摻混物、元件架構改進混合白光有機發光二極體，我們發展出高效率的藍色螢光主體材料，在IMID 2019會議中將發表此研究結果</t>
  </si>
  <si>
    <t>108/08/27-108/08/31</t>
  </si>
  <si>
    <t>受泰國同步光源研究所邀請，參加2019亞洲X光吸收光譜會議，講題為烷烴膜單加氧酶的相關X光吸收光譜的研究。</t>
  </si>
  <si>
    <t>108/08/19-108/08/31</t>
  </si>
  <si>
    <t>泰國(Thailand) 耶路撒冷(Jerusalem)</t>
  </si>
  <si>
    <t>清邁(Chiang mai) 耶路撒冷(Jerusalem)</t>
  </si>
  <si>
    <t>膜單加氧?在直鏈烷烴與烷基芳香烴的電化學催化轉換(2/3)_108-2113-M-001-006-</t>
  </si>
  <si>
    <t>以化學與物理方法探討第三型核糖核酸聚合?的專一性 構區域於轉錄起始、延展 終止的位置-以先進單分子_107-2627-M-001-005-</t>
  </si>
  <si>
    <t>赴美國波特蘭參加顯微鏡與微分析(Microscopy &amp; MicroAnalysis) 2019 研討會</t>
  </si>
  <si>
    <t>108/08/03-108/08/10</t>
  </si>
  <si>
    <t>波特蘭(Portland, Oregon)</t>
  </si>
  <si>
    <t>Attend 2019-Organometallic Catalysis Directed Towards Organic Synthesis (OMCOS 20)</t>
  </si>
  <si>
    <t>108/07/20-108/08/15</t>
  </si>
  <si>
    <t>海德堡(Heidelberg) 哥廷根(Gottingen)</t>
  </si>
  <si>
    <t>參加 June 23 - 28, 2019 位於香港的 Carbohydrates Gordon Research Conference，以及June 30 - July 4, 2019位於Leiden, Netherland的2019 Eurocarb會議，並隨後於July 5, 2019應邀至比利時Université catholique de Louvain(天主教魯汶大學)演講。</t>
  </si>
  <si>
    <t>108/06/23-108/07/08</t>
  </si>
  <si>
    <t>中國大陸(China) 比利時(Belgium) 荷蘭(Netherlands)</t>
  </si>
  <si>
    <t>香港(Hong Kong) 布魯塞爾(Brussels) Leiden</t>
  </si>
  <si>
    <t>1. 6/30-7/5 赴德國海德堡出席MQM 2019 會議 2. 7/8 訪問 3. 7/11-17 赴挪威特羅姆瑟參加 ISTCP 2019 會議</t>
  </si>
  <si>
    <t>108/06/29-108/07/18</t>
  </si>
  <si>
    <t>德國(Germany) 挪威(Norway)</t>
  </si>
  <si>
    <t>海德堡(Heidelberg) 特羅姆瑟</t>
  </si>
  <si>
    <t>1/6-1/10 至菲律賓參加Second International Mathematical Biology Workshop (IWOMB)會議</t>
  </si>
  <si>
    <t>108/01/06-108/01/12</t>
  </si>
  <si>
    <t>Bohol 馬尼拉(Manila)</t>
  </si>
  <si>
    <t>固態有機超分子刺激應答材料開發_106-2113-M-001-014-MY3</t>
  </si>
  <si>
    <t>到德國柏林參加14th International Symposium on Functional π-Electron Systems研討會</t>
  </si>
  <si>
    <t>108/05/31-108/06/13</t>
  </si>
  <si>
    <t>柏林(Berlin)</t>
  </si>
  <si>
    <t>利用廉價過渡金屬觸媒透過光電催化反應產生再生能源之研究_107-2113-M-001-012-MY3</t>
  </si>
  <si>
    <t>出國參加第七屆亞洲配位化學研討會，並就近期的研究成果向與會者分享討論。</t>
  </si>
  <si>
    <t>108/10/13-108/10/22</t>
  </si>
  <si>
    <t>受邀請至日本東京參加 27th International Society of Heterocyclic Chemistry Congress 發表專題演說 (Invited Speaker)</t>
  </si>
  <si>
    <t>108/08/31-108/09/07</t>
  </si>
  <si>
    <t>四聯??SK228的改進設計與 構重新配置: 一種新的IIb類選擇性組蛋白去乙醯?抑 劑_107-2113-M-001-027-</t>
  </si>
  <si>
    <t>参加AUC 2019-第24屆國際分析超速離心工作坊/研討會和發表論文 Title: 四聯吲哚衍生物的發現，結構重新分配和藥理學應用作為結構新型組蛋白去乙酰化酶抑製劑</t>
  </si>
  <si>
    <t>108/08/22-108/09/03</t>
  </si>
  <si>
    <t>基督城(Christchurch)</t>
  </si>
  <si>
    <t>1.5/17-5/19受邀至菲律賓測繪局(NAMRIA)進行菲律賓GNSS資料計算策略研討,菲律賓地表速度場與同震位移模型建置工作與菲律賓辦動態基準建置合作研究討論 2.5/20-5/21參加第六屆台菲地球科學國際會議(6th Philippines-Taiwan Earth Sciences International Conference)</t>
  </si>
  <si>
    <t>108/05/17-108/05/22</t>
  </si>
  <si>
    <t>Clark, Pampanga 馬尼拉(Manila)</t>
  </si>
  <si>
    <t>西太平洋隱沒帶研究: 化解台灣構造上的爭議與探索新課題 (2/3)-由地體動力及地震學探討隱沒在台灣底下之歐亞板塊岩石圈的變形模式：撓曲或是剪切 (2/3)_108-2116-M-001-018-</t>
  </si>
  <si>
    <t>赴法參加8th France-Taiwan Symposium in Earth Sciences及會前野外考察並發表論文</t>
  </si>
  <si>
    <t>108/10/16-108/10/24</t>
  </si>
  <si>
    <t>Pau and Pyrenees</t>
  </si>
  <si>
    <t>季節水文荷重變化對地震活動度之影響_108-2116-M-001-021-MY3</t>
  </si>
  <si>
    <t>赴法國波城參加第八屆臺法地球科學研討會－台灣和東南亞的地球動力學與極端事件</t>
  </si>
  <si>
    <t>108/10/16-108/10/25</t>
  </si>
  <si>
    <t>波城</t>
  </si>
  <si>
    <t>探討台灣西南部活動構造之氣體與流體地球化學特性及其大地構造之隱示_108-2116-M-001-024-</t>
  </si>
  <si>
    <t>參加第15屆國際氣體地球化學研討會，發表研究成果、該氣體地球化學學會會務討論、以及討論潛在合作計畫。</t>
  </si>
  <si>
    <t>108/09/26-108/10/12</t>
  </si>
  <si>
    <t>巴勒摩(Palermo)</t>
  </si>
  <si>
    <t>參加第六屆台菲地球科學國際會議(6th Philippines-Taiwan Earth Sciences International Conference)</t>
  </si>
  <si>
    <t>Clark, Pampanga</t>
  </si>
  <si>
    <t>107年台灣地震中心儀器服務計畫_107-2116-M-001-024-</t>
  </si>
  <si>
    <t>赴菲律賓參加2019(PTESIC)第六屆菲律賓 - 台灣地球科學國際會議</t>
  </si>
  <si>
    <t>克拉克</t>
  </si>
  <si>
    <t>赴菲律賓參加2019年第六屆菲律賓-台灣地球科學國際會議（PTESIC）參與會議並發表研究成果</t>
  </si>
  <si>
    <t>Clark Pampanga</t>
  </si>
  <si>
    <t>大氣中二氧化碳和一氧化氮生地化循環_MOST105-2111-M-001-006-MY3</t>
  </si>
  <si>
    <t>參加2018AGU會議並發表論文</t>
  </si>
  <si>
    <t>107/12/08-107/12/16</t>
  </si>
  <si>
    <t>次音波觀測-風濾波器設計_107-2116-M-001-021-</t>
  </si>
  <si>
    <t>出席 American Geophysical Union Fall Meeting in Washington DC</t>
  </si>
  <si>
    <t>107/12/06-107/12/25</t>
  </si>
  <si>
    <t>建立近即時GPS資料處理系統與觀測成果共享分析平台_107-2116-M-001-022-</t>
  </si>
  <si>
    <t>目前負責管理運作台灣地區連續GPS測站之資料解算與公布，希望藉由此次會議，將目前運行之近即時GPS資料處理系統與觀測成果共享分析平台推廣給外界，更希望在會議中能吸收到多方建議與想法，此外，更多加了解目前國外技術的進度，使平台更加完善以供給學術界與業界使用。</t>
  </si>
  <si>
    <t>107/12/05-107/12/20</t>
  </si>
  <si>
    <t>參加由MYANMAR ASSOCIATION OF PETROLEUM GEOLOGISTS 舉辦"Myanmar Petroleum Conference 2019(MPTC2019)"會議</t>
  </si>
  <si>
    <t>108/02/13-108/02/16</t>
  </si>
  <si>
    <t>尋找與研究帶有不明核子分化效應之富含鈣鋁之包裹物－II_MOST106-2116-M-001-025</t>
  </si>
  <si>
    <t>前往維也納參加 2019 EGU Meeting</t>
  </si>
  <si>
    <t>參加2019 Goldschmidt國際研討會</t>
  </si>
  <si>
    <t>108/08/17-108/08/27</t>
  </si>
  <si>
    <t>赴新加坡 參加2019 Asia Oceania Geosciences Society (AOGS)於會議設攤展示台灣地震科學相關研究成果</t>
  </si>
  <si>
    <t>108/07/28-108/08/03</t>
  </si>
  <si>
    <t>台灣西南部泥灌入體地體構造_107-2116-M-001-027-MY3</t>
  </si>
  <si>
    <t>參加2019新加坡亞洲大洋洲地球科學學會年會</t>
  </si>
  <si>
    <t>108/07/28-108/08/07</t>
  </si>
  <si>
    <t>地表地動的非線性分析_107-2116-M-001-015-</t>
  </si>
  <si>
    <t>參加加拿大蒙特婁第27屆國際大地測量和地球物理學聯合會</t>
  </si>
  <si>
    <t>108/07/13-108/07/27</t>
  </si>
  <si>
    <t>蒙特婁(Montreal)</t>
  </si>
  <si>
    <t>赴加拿大蒙特婁參加2019(IUGG)研討會</t>
  </si>
  <si>
    <t>108/07/07-108/07/23</t>
  </si>
  <si>
    <t>赴西班牙參加Goldschmidt 2019會議並發表論文</t>
  </si>
  <si>
    <t>參加Goldschmidt 2019國際研討會</t>
  </si>
  <si>
    <t>108/08/16-108/08/25</t>
  </si>
  <si>
    <t>CREATE VIII:亞洲增生與碰撞大地構造研究整合型計畫-III (ACT in Asia-III)-俄羅斯西伯利亞南部Dunzhugur蛇綠岩之地球化學研究：元古代古亞洲洋上部地函成分與演化之隱示(II)_108-2116-M-001-001-MY2</t>
  </si>
  <si>
    <t>108/08/17-108/08/31</t>
  </si>
  <si>
    <t>雷射剝蝕與多偵測器感應耦合電漿質譜術的開展及應用：以特提斯造山帶西北部喬治亞和東南部印尼蘇拉威西_107-2116-M-001-007-</t>
  </si>
  <si>
    <t>108/08/15-108/08/25</t>
  </si>
  <si>
    <t>尋找與研究帶有不明核子分化效應之富含鈣鋁之包裹物-III_107-2116-M-001-006-</t>
  </si>
  <si>
    <t>參加新加坡亞洲大洋洲地球科學學會年會</t>
  </si>
  <si>
    <t>108/07/28-108/08/02</t>
  </si>
  <si>
    <t>CREATE VII:亞洲增生與碰 大地構造研究整合型計畫-III-利用線性陣列與_107-2116-M-001-008-</t>
  </si>
  <si>
    <t>108/07/07-108/07/20</t>
  </si>
  <si>
    <t>參加2019 International Union of Geodesy and Geophysics (IUGG) General Assembly聯合會議。</t>
  </si>
  <si>
    <t>108/07/08-108/07/25</t>
  </si>
  <si>
    <t>第六屆台菲地球科學國際會議， 新南向計畫/ 主要在於透過台菲雙方相關研究的交流、經驗的交換以及遭遇共同課題的討論，期許能對於後續相關工作建立亙密切的合作關係。</t>
  </si>
  <si>
    <t>108/07/09-108/07/20</t>
  </si>
  <si>
    <t>參加2019 EGU Meeting</t>
  </si>
  <si>
    <t>108/03/25-108/06/03</t>
  </si>
  <si>
    <t>奧地利(Austria) 美國(U.S.A.)</t>
  </si>
  <si>
    <t>維也納(Vienna) 聖地牙哥(San Diego,California)</t>
  </si>
  <si>
    <t>地球內部的動力學研究 － 利用大地測量觀測重力和地球自轉的變化_107-2116-M-001-011-</t>
  </si>
  <si>
    <t>日本地球科學聯盟會議匯集了來自世界各地許多機構的專業人員，範圍涵蓋行星科學、大氣科學及水文、地球科學、生物地球科學等，活動運作以自下而上的方式，鼓勵交流科學技術與方法。 會議包含口頭報告(Oral)及壁報展示(Poster)，以及特別講座，日本本身注重地震機制及災害防治，甚至可參考其政策制定，對於同屬於環太平洋地震活動帶台灣而言是很好的借鏡。</t>
  </si>
  <si>
    <t>108/05/22-108/06/01</t>
  </si>
  <si>
    <t>千葉(Chiba)</t>
  </si>
  <si>
    <t>參加2019日本地球科學聯合會議(JPGU_AGU)</t>
  </si>
  <si>
    <t>千葉縣</t>
  </si>
  <si>
    <t>快速掘升中的高壓相雜岩體-台灣中央山脈東翼玉里帶： 從隱沒轉變為碰撞作用-總計畫暨子計畫一：重建台灣變質核心中玉_107-2116-M-001-026-MY3</t>
  </si>
  <si>
    <t>第八屆法國 - 台灣地球科學研討會旨在促進以自然災害，資源，地球物理學和地球動力學研究為重點的知識，數據和方法的交流。 會議分為五大議題，並有實地野外考察。</t>
  </si>
  <si>
    <t>108/10/14-108/10/31</t>
  </si>
  <si>
    <t>波爾Pau</t>
  </si>
  <si>
    <t>建立近即時GPS資料處理系統與觀測成果共享分析平台(II) 暨 臺灣東部地區實施海底大地測量研究_108-2116-M-001-022-</t>
  </si>
  <si>
    <t>赴韓國濟州島參加2019 ISGNSS國際研討會</t>
  </si>
  <si>
    <t>108/10/29-108/11/02</t>
  </si>
  <si>
    <t>花蓮-太魯閣地區地殼變形研究調查--結合大地測量學、水文學、地震活動和地貌分析_108-2116-M-001-027-MY2</t>
  </si>
  <si>
    <t>赴美國舊金山參加2019美國地球物理聯盟秋季大會</t>
  </si>
  <si>
    <t>108/12/08-108/12/15</t>
  </si>
  <si>
    <t>至美國洛杉磯南加州大學地球科學系研究訪問及參加2019美國地球物理聯盟秋季大會</t>
  </si>
  <si>
    <t>108/11/17-108/12/15</t>
  </si>
  <si>
    <t>台灣深部地殼主要構造之震波探索_108-2116-M-001-019-MY3</t>
  </si>
  <si>
    <t>災防相關科學國際研討會</t>
  </si>
  <si>
    <t>108/11/27-108/11/29</t>
  </si>
  <si>
    <t>建構概念為本且具語義結合性的中文知識庫(1/4)_108-2634-F-001-006-</t>
  </si>
  <si>
    <t>P19004_建構概念為本且具語義結合性的中文知識庫(1/4)_MOST108-2634-F-001-006_NeurIPS 2019</t>
  </si>
  <si>
    <t>108/12/09-108/12/16</t>
  </si>
  <si>
    <t>溫哥華(Vancouver)(10/16-04/30)</t>
  </si>
  <si>
    <t>基於AI應用之深度學習智慧系統整合-異質性深度模型整合與檢索特徵學習(2/4)_108-2634-F-001-004-</t>
  </si>
  <si>
    <t>P19002_基於AI應用之深度學習智慧系統整合-異質性深度模型整合與檢索特徵學習(2/4)_MOST108-2634-F-001-004_NeurIPS 2019</t>
  </si>
  <si>
    <t>108/12/07-108/12/16</t>
  </si>
  <si>
    <t>組合最佳化與幾何計算問題之演算法研究_106-2221-E-001-006-MY3</t>
  </si>
  <si>
    <t>E730_組合最佳化與幾何計算問題之演算法研究_MOST106-2221-E-001-006-MY3_IEEE SMC 2019</t>
  </si>
  <si>
    <t>108/10/03-108/10/17</t>
  </si>
  <si>
    <t>巴里</t>
  </si>
  <si>
    <t>深度學習於多媒體資料處理的相關研究及應用(2/5~5/5)(2/4)_108-2634-F-001-003-</t>
  </si>
  <si>
    <t>P19001_深度學習於多媒體資料處理的相關研究及應用(2/5~5/5)(2/4) _MOST108-2634-F-001-003_ICCV2019</t>
  </si>
  <si>
    <t>108/10/26-108/11/02</t>
  </si>
  <si>
    <t>雲端財富及風險管理：投資策略與智能交易技術與高效率演算法開發研究-雲端財富及風險管理：投資策略與智能交易技術與高效率演算法開發研究(3/3)_108-2218-E-001-003-</t>
  </si>
  <si>
    <t>P19018_雲端財富及風險管理：投資策略與智能交易技術與高效率演算法開發研究-雲端財富及風險管理：投資策略與智能交易技術與高效率演算法開發研究(3/3) _MOST108-2218-E-001-003_IEEE SMC 2019</t>
  </si>
  <si>
    <t>108/10/05-108/10/12</t>
  </si>
  <si>
    <t>應用於互動式音樂系統之自動採譜演算法_106-2218-E-001-003-MY3</t>
  </si>
  <si>
    <t>E707_應用於互動式音樂系統之自動採譜演算法_MOST106-2218-E-001-003-MY3_ISMIR 2019</t>
  </si>
  <si>
    <t>108/11/01-108/11/12</t>
  </si>
  <si>
    <t>代爾夫特</t>
  </si>
  <si>
    <t>RISC-V編譯器最佳化支援與正規驗證研究總計畫-子計畫四：為RISC-V開發工具之擴展指令形式化_108-2221-E-001-010-MY3</t>
  </si>
  <si>
    <t>P19029_RISC-V編譯器最佳化支援與正規驗證研究總計畫－子計畫四：為RISC-V開發工具之擴展指令形式化_MOST108-2221-E-001-010-MY3_ACM CCS 2019</t>
  </si>
  <si>
    <t>108/11/11-108/11/17</t>
  </si>
  <si>
    <t>108/10/05-108/11/13</t>
  </si>
  <si>
    <t>荷蘭(Netherlands) 英國(United Kingdom)</t>
  </si>
  <si>
    <t>Delft 愛丁堡(Edinburgh)</t>
  </si>
  <si>
    <t>P19002_基於AI應用之深度學習智慧系統整合-異質性深度模型整合與檢索特徵學習(2/4)_MOST108-2634-F-001-004_CVPR2019</t>
  </si>
  <si>
    <t>108/06/15-108/06/22</t>
  </si>
  <si>
    <t>Long Beach, CA</t>
  </si>
  <si>
    <t>P19002_基於AI應用之深度學習智慧系統整合-異質性深度模型整合與檢索特徵學習(2/4)_MOST108-2634-F-001-004_2009 ICMR</t>
  </si>
  <si>
    <t>108/06/08-108/06/17</t>
  </si>
  <si>
    <t>渥太華(Ottawa)</t>
  </si>
  <si>
    <t>人工智慧於金融業之應用_05T-1071211-1C</t>
  </si>
  <si>
    <t>P19007_人工智慧於金融業之應用_05T-1071211-1C_IEEE AIKE 2019</t>
  </si>
  <si>
    <t>108/06/01-108/07/06</t>
  </si>
  <si>
    <t>Cagliari, Sardinia,</t>
  </si>
  <si>
    <t>藉由完成三種不同領域相關之機器閱讀系統, 建立一個可通用的機器閱讀架構-子計畫二：基於事件的文本蘊含判定與自動學習技術之研究_105-2221-E-001-007-MY3</t>
  </si>
  <si>
    <t>E619_藉由完成三種不同領域相關之機器閱讀系統, 建立一個可通用的機器閱讀架構－子計畫二：基於事件的文本蘊含判定與自動學習技術之研究_MOST105-2221-E-001-007-MY3_NAACL2019</t>
  </si>
  <si>
    <t>108/06/01-108/06/09</t>
  </si>
  <si>
    <t>明尼亞波里斯(Minneapolis, Minnesota)</t>
  </si>
  <si>
    <t>P19004_建構概念為本且具語義結合性的中文知識庫(1/4)_MOST108-2634-F-001-006_NAACL 2019</t>
  </si>
  <si>
    <t>108/06/01-108/06/07</t>
  </si>
  <si>
    <t>有限回饋下的線上學習_106-2221-E-001-005-MY3</t>
  </si>
  <si>
    <t>E720_有限回饋下的線上學習_IJCNN 2019</t>
  </si>
  <si>
    <t>108/07/11-108/07/21</t>
  </si>
  <si>
    <t>匈牙利(Hungary)</t>
  </si>
  <si>
    <t>布達佩斯(Budapest)</t>
  </si>
  <si>
    <t>應用於先進製程之大數據智慧分析與決策系統1/4_MOST108-2634-F-007-010</t>
  </si>
  <si>
    <t>P19012_應用於先進製程之大數據智慧分析與決策系統1/4_MOST108-2634-F-007-010_SPARS 2019</t>
  </si>
  <si>
    <t>108/06/30-108/07/06</t>
  </si>
  <si>
    <t>P19003_具深度理解之對話系統及智慧型輔助學習機器人(2/5~5/5)(2/4)_MOST108-2634-F-001-005_NTCIR-14</t>
  </si>
  <si>
    <t>108/06/08-108/06/16</t>
  </si>
  <si>
    <t>P19002_基於AI應用之深度學習智慧系統整合-異質性深度模型整合與檢索特徵學習(2/4)_MOST108-2634-F-001-004_THE WEB CONFERENCE 2019</t>
  </si>
  <si>
    <t>108/05/13-108/05/20</t>
  </si>
  <si>
    <t>P19002_基於AI應用之深度學習智慧系統整合-(2/4)_CVPR 2019</t>
  </si>
  <si>
    <t>長堤市</t>
  </si>
  <si>
    <t>P19004_建構概念為本且具語義結合性的中文知識庫(1/4)_MOST108-2634-F-001-006_NTCIR-14 2019</t>
  </si>
  <si>
    <t>108/06/09-108/06/15</t>
  </si>
  <si>
    <t>E623_自動化生成和驗證高效安全不洩漏旁通道資訊的密碼學程式_MOST105-2221-E-001-014-MY3_SIAM AG 19</t>
  </si>
  <si>
    <t>108/07/07-108/07/15</t>
  </si>
  <si>
    <t>伯恩(Bern)</t>
  </si>
  <si>
    <t>E722_自動驗證和生成進行數據密集型計算的程式_MOST106-2221-E-001-009-MY3_NETYS 2019</t>
  </si>
  <si>
    <t>108/06/18-108/06/23</t>
  </si>
  <si>
    <t>摩洛哥(Morocco)</t>
  </si>
  <si>
    <t>馬拉喀什(Marrakech)</t>
  </si>
  <si>
    <t>反式調節因子對基因選擇性剪接之調控機制_105-2221-E-001-029-MY3</t>
  </si>
  <si>
    <t>E630_反式調節因子對基因選擇性剪接之調控機制_MOST105-2221-E-001-029-MY3_ISMB/ECCB 2019</t>
  </si>
  <si>
    <t>融合觀測站與微型裝置資料來實現細懸浮微粒監測及小地區空氣品質推估(3/3)_107-3011-F-001-001-</t>
  </si>
  <si>
    <t>E801_融合觀測站與微型裝置資料來 實現細懸浮微粒監測及小地區空氣品質推估－融合觀測站與微型裝置資料來實現細懸浮微粒監測及小地區空氣品質推估(3/3)_MOST107-3011-F-001-001_ACISP 2019</t>
  </si>
  <si>
    <t>108/06/29-108/07/13</t>
  </si>
  <si>
    <t>E619_藉由完成三種不同領域相關之機器閱讀系統, 建立一個可通用的機器閱讀架構－子計畫二：基於事件的文本蘊含判定與自動學習技術之研究_MOST105-2221-E-001-007-MY3_NAACL 2019</t>
  </si>
  <si>
    <t>108/06/02-108/06/09</t>
  </si>
  <si>
    <t>智慧型照護互動系統-基於深度智能之口語處理技術(2/4)_MOST108-2634-F-008-004</t>
  </si>
  <si>
    <t>P19009_智慧型照護互動系統-基於深度智能之口語處理技術(2/4)_MOST108-2634-F-008-004_Interspeech2019</t>
  </si>
  <si>
    <t>108/09/13-108/09/21</t>
  </si>
  <si>
    <t>格拉茲(Graz)</t>
  </si>
  <si>
    <t>非揮發性整合記憶體架構之設計與效能最佳化_107-2923-E-001-001-MY3</t>
  </si>
  <si>
    <t>P18034_臺德(DE)國合計畫－非揮發性整合記憶體架構之設計與效能最佳化 _MOST-107-2923-E-001-001-MY3_ISLPED 2019</t>
  </si>
  <si>
    <t>108/07/19-108/08/04</t>
  </si>
  <si>
    <t>法國(France) 瑞士(Switzerland)</t>
  </si>
  <si>
    <t>巴黎(Paris) Lausanne</t>
  </si>
  <si>
    <t>機器學習應用在模擬系統的議題討論：以流感模擬為例_107-2221-E-001-017-MY2</t>
  </si>
  <si>
    <t>P18021_MOST107-2221-E-001 -017 -MY2_機器學習應用在模擬系統的議題討論：以流感模擬為例_SIMULTECH 2019</t>
  </si>
  <si>
    <t>108/07/25-108/08/12</t>
  </si>
  <si>
    <t>標靶B型肝炎誘發之肝癌腫瘤生成與Sorafenib抗藥性之微環境：聚焦發炎激素與癌幹細胞特性之轉譯精準醫學研究與臨床意義-以多維體策略來全面解析B型肝炎誘發之肝癌腫瘤生成與造成Sorafenib抗藥性產生之微環境變化(1/3)_107-2314-B-001-002-</t>
  </si>
  <si>
    <t>P18019_標靶B型肝炎誘發之肝癌腫瘤生成與Sorafenib抗藥性之微環境：聚焦發炎激素與癌幹細胞特性之轉譯精準醫學研究與臨床意義－以多維體策略來全面解析B型肝炎誘發之肝癌腫瘤生成與造成Sorafenib抗藥性產生之微環境變化(1/3) _MOST107-2314-B-001-002_ISMB 2019</t>
  </si>
  <si>
    <t>108/07/18-108/07/28</t>
  </si>
  <si>
    <t>發展基因組和轉譯組組裝技術和工具_105-2221-E-001-026-MY3</t>
  </si>
  <si>
    <t>E628_發展基因組和轉譯組組裝技術和工具-MOST105-2221-E-001-026-MY3-ISMB/ECCB 2019</t>
  </si>
  <si>
    <t>108/07/18-108/08/04</t>
  </si>
  <si>
    <t>P18016_以使用者有感為導向的環境物聯網大數據分析：以 PM2.5 為例－以使用者有感為導向的環境物聯網大數據分析：以 PM2.5 為例(1/3)_MOST-107-2218-E-001-006_The Web Conference 2019</t>
  </si>
  <si>
    <t>108/05/04-108/05/22</t>
  </si>
  <si>
    <t>高瞻計畫多元輔導與支援平台計畫-總計畫(含子計畫一):國際合作與交流輔導平台(3/3)_107-2514-S-001-001-</t>
  </si>
  <si>
    <t>科技部_E804_高瞻計畫多元輔導與支援平台計畫-總計畫(含子計畫一)：國際合作與交流輔導平台(3/3)_MOST107-2514-S-001-001_ICTE 2019</t>
  </si>
  <si>
    <t>108/01/15-108/01/20</t>
  </si>
  <si>
    <t>清州(Chongju)</t>
  </si>
  <si>
    <t>P19002_基於AI應用之深度學習智慧系統整合-異質性深度模型整合與檢索特徵學習(2/4)_MOST108-2634-F-001-004_MIPR2019</t>
  </si>
  <si>
    <t>108/03/26-108/04/01</t>
  </si>
  <si>
    <t>巨量有向關聯網絡的高效率視需求計算之研究_107-2221-E-001-005-</t>
  </si>
  <si>
    <t>科技部_P18033_MOST107-2221-E-001-005_巨量有向關聯網絡的高效率視需求計算之研究_ALLDATA 2019</t>
  </si>
  <si>
    <t>108/03/23-108/03/31</t>
  </si>
  <si>
    <t>嘉南平原水文、農業空間及聚落生活空間之百年變遷與連動關係之研究-時空資訊處理的協同方法與系統(子計畫四)(3/3)_107-2627-M-001-009-</t>
  </si>
  <si>
    <t>科技部_E802_嘉南平原水文、農業空間及聚落生活空間之百年變遷與連動關係之研究－時空資訊處理的協同方法與系統(子計畫四)_MOST107-2627-M-001-009_14th IDCC 2019</t>
  </si>
  <si>
    <t>108/02/01-108/02/07</t>
  </si>
  <si>
    <t>墨爾本(Melbourne)</t>
  </si>
  <si>
    <t>實作對絡密碼學中基本難題的平行破密攻擊以達成安全性的更好推估_105-2221-E-001-020-MY3</t>
  </si>
  <si>
    <t>371627_實作對絡密碼學中基本難題的平行破密攻擊以達成安全性的更好推估_MOST105-2221-E-001-020-MY3_(E627)_ Oxford Post-Quantum Cryptography Workshop</t>
  </si>
  <si>
    <t>371623_自動化生成和驗證高效安全不洩漏旁通道資訊的密碼學程式_ MOST105-2221-E-001-014-MY3_(E623)_ Oxford Post-Quantum Cryptography Workshop</t>
  </si>
  <si>
    <t>P19003_具深度理解之對話系統及智慧型輔助學習機器人(2/5~5/5)(2/4) _MOST108-2634-F-001-005_ACL 2019</t>
  </si>
  <si>
    <t>108/07/25-108/08/03</t>
  </si>
  <si>
    <t>日本鰻人工繁殖之關鍵技術開發與整合-日本鰻人工繁殖之關鍵技術開發與整合_MOST107-2321-B-002-057</t>
  </si>
  <si>
    <t>P18035_日本鰻人工繁殖之關鍵技術開發與整合-日本鰻人工繁殖之關鍵技術開發與整合_MOST107-2321-B-002-057_The 13th International Workshop on Advanced Genomics： Genome to Health</t>
  </si>
  <si>
    <t>108/06/23-108/06/28</t>
  </si>
  <si>
    <t>補助擔任世界計算語言學協會亞太分會備位主席，所出席國際學術會議活動所需之相關經費:註冊費、出差旅費及學會年費(1/2)_108-2911-I-001-513</t>
  </si>
  <si>
    <t>P19013_補助擔任世界計算語言學協會亞太分會備位主席，所出席國際學術會議活動所需之相關經費:註冊費、出差旅費及學會年費(1/2) _108-2911-I-001-513_ACL 2019 Annual Meeting</t>
  </si>
  <si>
    <t>108/07/26-108/08/03</t>
  </si>
  <si>
    <t>創新以及可永續的研究資料管理和協作(1/3)_108-2621-M-001-006-</t>
  </si>
  <si>
    <t>P19039_創新以及可永續的研究資料管理和協作(1/3)_MOST108-2621-M-001-006_WikidataCon 2019暨Wikibase workshop Berlin 2019</t>
  </si>
  <si>
    <t>108/10/23-108/10/29</t>
  </si>
  <si>
    <t>基於相變化記憶體神經網路訓練系統之效能與壽命優化_108-2221-E-001-004-MY3</t>
  </si>
  <si>
    <t>P19026_基於相變化記憶體神經網路訓練系統之效能與壽命優化_MOST108-2221-E-001-004-MY3)_EMBEDDED SYSTEMS WEEK 2019</t>
  </si>
  <si>
    <t>108/09/15-108/10/20</t>
  </si>
  <si>
    <t>紐約市(New York,New York) 西拉法葉市</t>
  </si>
  <si>
    <t>增強外在情境及內在情感感知之多模式深度智慧文本理解與生成_108-2221-E-001-012-MY3</t>
  </si>
  <si>
    <t>P19031_增強外在情境及內在情感感知之多模式深度智慧文本理解與生成_MOST108-2221-E-001-012-MY3_ASONAM 2019</t>
  </si>
  <si>
    <t>108/08/27-108/09/02</t>
  </si>
  <si>
    <t>溫哥華(Vancouver)(05/01-10/15)</t>
  </si>
  <si>
    <t>語音轉換及其應用_107-2221-E-001-008-MY3</t>
  </si>
  <si>
    <t>P18023_語音轉換及其應用_MOST107-2221-E-001-008-MY3_Interspeech2019</t>
  </si>
  <si>
    <t>108/09/07-108/09/19</t>
  </si>
  <si>
    <t>E804_高瞻計畫多元輔導與支援平台計畫-總計畫(含子計畫一)：國際合作與交流輔導平台(3/3)_MOST107-2514-S-001-001_2019 SSH生徒發表會</t>
  </si>
  <si>
    <t>108/08/06-108/08/10</t>
  </si>
  <si>
    <t>多重單子副作用之性質推理_107-2221-E-001-003-</t>
  </si>
  <si>
    <t>P18031_多重單子副作用之性質推理_MOST107-2221-E-001-003</t>
  </si>
  <si>
    <t>108/10/05-108/10/15</t>
  </si>
  <si>
    <t>Proto</t>
  </si>
  <si>
    <t>P19001_深度學習於多媒體資料處理的相關研究及應用(2/5~5/5)(2/4) _MOST108-2634-F-001-003)_ACM Multimedia 2019</t>
  </si>
  <si>
    <t>108/10/20-108/10/27</t>
  </si>
  <si>
    <t>P19002_基於AI應用之深度學習智慧系統整合-異質性深度模型整合與檢索特徵學習(2/4)_MOST108-2634-F-001-004_MMSP 2019</t>
  </si>
  <si>
    <t>108/09/26-108/09/30</t>
  </si>
  <si>
    <t>標靶B型肝炎誘發之肝癌腫瘤生成與Sorafenib抗藥性之微環境：聚焦發炎激素與癌幹細胞特性之轉譯精準醫學研究與臨床意義-以多維體策略來全面解析B型肝炎誘發之肝癌腫瘤生成與造成Sorafenib抗藥性產生之微環境變化(2/3)_108-2314-B-001-002-</t>
  </si>
  <si>
    <t>P19043_標靶B型肝炎誘發之肝癌腫瘤生成與Sorafenib抗藥性之微環境：聚焦發炎激素與癌幹細胞特性之轉譯精準醫學研究與臨床意義－以多維體策略來全面解析B型肝炎誘發之肝癌腫瘤生成與造成Sorafenib抗藥性產生之微環境變化(2/3) _108-2314-B-001-002_InCoB 2019</t>
  </si>
  <si>
    <t>108/09/09-108/09/13</t>
  </si>
  <si>
    <t>陳鼎介博士後研究員擬於108年10月赴南韓參加IEEE會議_108-2914-I-001-039-A1_ICCV 2019</t>
  </si>
  <si>
    <t>S19010_陳鼎介博士後研究員擬於108年10月赴南韓參加IEEE會議_108-2914-I-001-039-A1_ICCV 2019</t>
  </si>
  <si>
    <t>108/10/25-108/11/02</t>
  </si>
  <si>
    <t>108-2914-I-001-007-A1_陳碩漢108年3月參加ACM／IEEE International Symposium on Low Power Electronics and Design _ISLPED 2018</t>
  </si>
  <si>
    <t>S19003_108-2914-I-001-007-A1_陳碩漢108年3月參加ACM／IEEE International Symposium on Low Power Electronics and Design _ISLPED 2018</t>
  </si>
  <si>
    <t>108-2914-I001-022-AI_許揚博士獲科技部補助學者專家赴國外旅費</t>
  </si>
  <si>
    <t>S19007_108-2914-I001-022-AI_許揚博士獲科技部補助學者專家赴國外旅費</t>
  </si>
  <si>
    <t>108/06/23-108/07/03</t>
  </si>
  <si>
    <t>科技部--補助國內專家學者出席國際學術會議_MOST 108-2914-I-001 -016 -A1_ICASSP 2019</t>
  </si>
  <si>
    <t>S19006_科技部--補助國內專家學者出席國際學術會議_MOST 108-2914-I-001 -016 -A1_ICASSP 2019</t>
  </si>
  <si>
    <t>108/05/11-108/05/17</t>
  </si>
  <si>
    <t>赴美國出席2019跨領域植物團體研討會。於5/29-5/31出席會議</t>
  </si>
  <si>
    <t>108/05/27-108/06/07</t>
  </si>
  <si>
    <t>密蘇里州哥倫比亞市</t>
  </si>
  <si>
    <t>時鐘蛋白 LWD 與 TCP 調控植物概日韻律基因表現研究_106-2311-B-001-032-MY3</t>
  </si>
  <si>
    <t>3月14日至3月16日赴日本名古屋參與Japan-Taiwan Plant Biology 2019，3月18日至3月20日赴日本奈良參與Post-transcriptional Gene Regulation in Plants(PGRP) 2019。</t>
  </si>
  <si>
    <t>108/03/14-108/03/21</t>
  </si>
  <si>
    <t>藍綠菌光合作用反應中心光系統二的光保護分子機制和生質能源應用潛能的探討(III)（植安）_107-2311-B-001-024</t>
  </si>
  <si>
    <t>出席美國2019 戈登光合作用研討會並於會中發表壁報論文</t>
  </si>
  <si>
    <t>108/07/19-108/08/01</t>
  </si>
  <si>
    <t>Newry ME</t>
  </si>
  <si>
    <t>玉米分泌甘露糖結合蛋白(mannose-binding protein)抗真菌機制之探討_107-2311-B-001-044-MY3</t>
  </si>
  <si>
    <t>植物和微生物相互作用</t>
  </si>
  <si>
    <t>108/07/12-108/07/28</t>
  </si>
  <si>
    <t>研究雞肉絲菇與環境因子交互作用下的出菇分子機制_106-2311-B-001-035-MY3</t>
  </si>
  <si>
    <t>百慕達草白葉病植物菌質體之效應分子的篩選與功能性研究_106-2311-B-001-028-MY3</t>
  </si>
  <si>
    <t>愛丁堡(Edinburgh) Norwich 格洛哥(Glasgow)</t>
  </si>
  <si>
    <t>一個具有高度不規律結構的逆境誘導蛋白在缺水環境下對水稻根系發育的影響(植賀)_107-2311-B-001-014</t>
  </si>
  <si>
    <t>8/3-7 於美國加州San Jose參加植物學年會</t>
  </si>
  <si>
    <t>108/07/05-108/08/09</t>
  </si>
  <si>
    <t>植物中光線調控替代性RNA剪切的分子機制及功能_106-2311-B-001-033-MY3</t>
  </si>
  <si>
    <t>參加美國植物學年會及赴加州大學戴維斯分校進行合作研究</t>
  </si>
  <si>
    <t>108/08/02-108/08/11</t>
  </si>
  <si>
    <t>聖荷西(San Jose,California) 戴維斯(Davis, California)</t>
  </si>
  <si>
    <t>臺法國合計畫(植茹)闡釋類拓樸異構酉每SPO11之結構和功能及交互作用的蛋白網路_MOST 107-2923-B-002-001-MY4</t>
  </si>
  <si>
    <t>參加國際減數分裂研討會,並貼海報</t>
  </si>
  <si>
    <t>108/08/23-108/08/31</t>
  </si>
  <si>
    <t>La Rochelle</t>
  </si>
  <si>
    <t>乾旱相關磷酸化訊息傳遞：蛋白質磷酸?的生長調控E分枝與AFL1磷酸化之新目標_107-2311-B-001-037-MY3</t>
  </si>
  <si>
    <t>邀赴東京農工大學交流演講。於7/25-7/26進行學術交流、演講。</t>
  </si>
  <si>
    <t>108/07/24-108/07/29</t>
  </si>
  <si>
    <t>竹嵌紋病毒在寄主植物體內複製的分子機制-解析植物代謝相關基因參與竹嵌紋病毒之複製(1/3)(植生)_107-2313-B-001-012</t>
  </si>
  <si>
    <t>竹嵌紋病毒在寄主植物體內複製的分子機制－解析植物代謝相關基因參與竹嵌紋病毒之複製</t>
  </si>
  <si>
    <t>Glasgow, Scotland</t>
  </si>
  <si>
    <t>參加2019年植物維管束生物學會議</t>
  </si>
  <si>
    <t>108/06/17-108/06/22</t>
  </si>
  <si>
    <t>利用奈米科技加速CRISPR/Cas9及其應用於基因體編輯(2/2)（植仰）_107-2633-B-001-001</t>
  </si>
  <si>
    <t>108/06/16-108/07/01</t>
  </si>
  <si>
    <t>比薩(Pisa)</t>
  </si>
  <si>
    <t>參加日本脂質生化學會年度會議並發表演講</t>
  </si>
  <si>
    <t>108/07/01-108/07/05</t>
  </si>
  <si>
    <t>參加第9屆歐洲植物脂質會議</t>
  </si>
  <si>
    <t>108/07/06-108/07/13</t>
  </si>
  <si>
    <t>馬賽(Marseille)</t>
  </si>
  <si>
    <t>玉米分泌甘露糖結合蛋白抗真菌機制之探討（植珊）_107-2311-B-001-044-MY3</t>
  </si>
  <si>
    <t>Japan-Taiwan Plant Biology 2019,參與學術研討會</t>
  </si>
  <si>
    <t>新型固醇酯水解?調控植物固醇動態平衡生化與作用機制之研究_106-2313-B-001-008-MY3</t>
  </si>
  <si>
    <t>108/01/11-108/01/17</t>
  </si>
  <si>
    <t>到美國參加International Plant &amp; Animal Genome(PAG)XXVII會議，並張貼海報</t>
  </si>
  <si>
    <t>108/01/10-108/01/19</t>
  </si>
  <si>
    <t>赴比利時、英國出席學術交流和研討會。7/4~7/5:於比利時法蘭德斯生物科技研究院(VIB)進行學術交流、演講；7/7~7/12:赴英國出席2019植物膜生物學國際研討會。</t>
  </si>
  <si>
    <t>108/07/03-108/07/16</t>
  </si>
  <si>
    <t>英國(United Kingdom) 比利時(Belgium)</t>
  </si>
  <si>
    <t>格洛哥(Glasgow) 根特(Gent)</t>
  </si>
  <si>
    <t>探討不對稱細胞分裂在阿拉伯芥氣孔發育過程中之作用(植敏)_108-2311-B-001-003-MY3</t>
  </si>
  <si>
    <t>CSHA Plant Cell and Development meeting Symposiums of researches on Plant Cell biology and Plant development which are closely related to my field</t>
  </si>
  <si>
    <t>108/11/03-108/11/07</t>
  </si>
  <si>
    <t>慶州</t>
  </si>
  <si>
    <t>參加2019 American Plant Biology annual meeting in San Jose, CA, USA 及 poster presentation</t>
  </si>
  <si>
    <t>108/08/02-108/08/09</t>
  </si>
  <si>
    <t>農桿菌第六型分泌系統多樣性效應分子及其運輸機制的功能性研究_107-2311-B-001-019-MY3</t>
  </si>
  <si>
    <t>參加IS-MPMI XVIII Congress研討會及Poster報告</t>
  </si>
  <si>
    <t>108/07/12-108/07/19</t>
  </si>
  <si>
    <t>赴日本參加亞洲真菌會議 AMC 2019，並發表研究室研究成果。</t>
  </si>
  <si>
    <t>108/09/30-108/10/06</t>
  </si>
  <si>
    <t>Mie</t>
  </si>
  <si>
    <t>阿拉伯芥粒線體基因表現之調控_105-2311-B-001-075-MY3</t>
  </si>
  <si>
    <t>108/08/01-108/08/22</t>
  </si>
  <si>
    <t>108/08/02-108/08/16</t>
  </si>
  <si>
    <t>光調控植物幼苗轉譯體位移的機制與功能性研究(1/5)_108-2321-B-001-023-</t>
  </si>
  <si>
    <t>受邀赴韓國慶洲參與2019 Cold Spring Harbor Asia Conference on Plant Cell and Development Biology並發表演說</t>
  </si>
  <si>
    <t>探索細胞中IRONMAN對鐵平衡的分子功能(植虎)_108-2311-B-001-033-MY3</t>
  </si>
  <si>
    <t>參加植物小分子研究專題討論會</t>
  </si>
  <si>
    <t>油滴的生成與維持(III): 探討人類先天性全身性脂肪失養症蛋白Seipin參與細胞內鞘磷脂恆定調節的新功能(植雯)_108-2311-B-001-023-</t>
  </si>
  <si>
    <t>108/12/05-108/12/16</t>
  </si>
  <si>
    <t>生命科學研究推動計畫_108-2735-B-001-001-</t>
  </si>
  <si>
    <t>108/11/16-108/11/23</t>
  </si>
  <si>
    <t>杜塞爾多夫(Duesseldorf)</t>
  </si>
  <si>
    <t>中華文化基金會補助</t>
  </si>
  <si>
    <t>赴葡萄牙參加由EMBO舉辦的Proteostasis: from organelles to organisms國際研討會</t>
  </si>
  <si>
    <t>108/11/11-108/11/24</t>
  </si>
  <si>
    <t>Ericeira</t>
  </si>
  <si>
    <t>中華文化教育基金會補助</t>
  </si>
  <si>
    <t>參加由 Cold Spring Harbor 於南韓慶州所舉辦之 Plant Cell and Development 研討會，並發表口頭論文報告。</t>
  </si>
  <si>
    <t>108/11/03-108/11/08</t>
  </si>
  <si>
    <t>植微所捐贈款 (賀端華老師捐款補助)</t>
  </si>
  <si>
    <t>出席EMBO Bacteria networks 2019 學術會議, 海報報告及演講.</t>
  </si>
  <si>
    <t>108/08/29-108/09/16</t>
  </si>
  <si>
    <t>西班牙(Spain) 英國(United Kingdom)</t>
  </si>
  <si>
    <t>Sant Feliu de Guíxols 倫敦(London)</t>
  </si>
  <si>
    <t>賀端華老師捐贈USD1600，IPMB 6th Annual Poster Competition</t>
  </si>
  <si>
    <t>108/07/17-108/08/06</t>
  </si>
  <si>
    <t>羅德島(Rhode Island)</t>
  </si>
  <si>
    <t>出席第十八屆植物與微生物分子交互作用國際研討會{2019 IS-MPMI XVIII Congress [MPMI 2019 meeting]}</t>
  </si>
  <si>
    <t>108/06/28-108/07/21</t>
  </si>
  <si>
    <t>中華文化基金會</t>
  </si>
  <si>
    <t>參加國際會議 2019ISPP 國際植物光生物學會</t>
  </si>
  <si>
    <t>108/05/28-108/06/11</t>
  </si>
  <si>
    <t>賀端華老師捐款補助USD1600</t>
  </si>
  <si>
    <t>Poster communication in the 13th Carbohydrate Bioengineering Meeting. Mr. Kao's findings are about improvement of a cellulolytic enzyme, which is useful for applications in biofuels industry.</t>
  </si>
  <si>
    <t>108/05/17-108/05/24</t>
  </si>
  <si>
    <t>探討環狀RNA於不同萬能分化性轉換的功能_105-2314-B-001-005-MY3</t>
  </si>
  <si>
    <t>108/06/25-108/06/30</t>
  </si>
  <si>
    <t>108/07/27-108/08/12</t>
  </si>
  <si>
    <t>邁阿密(Miami,Florida)</t>
  </si>
  <si>
    <t>GLUT10調控胞內維生素C平衡影響生理代謝_MOST 108-2320-B-001-022-</t>
  </si>
  <si>
    <t>108/09/18-108/09/27</t>
  </si>
  <si>
    <t>108/06/28-108/08/05</t>
  </si>
  <si>
    <t>Steamboat Springs, Colorado</t>
  </si>
  <si>
    <t>O-Acetyl-ADP-ribose相關的表觀遺傳蛋白複合體於冷凍電子顯微鏡下之研究_108-2321-B-001-024-</t>
  </si>
  <si>
    <t>O-Acetyl-ADP-ribose相關的表觀遺傳蛋白複合體於冷凍電子顯微鏡下之研究</t>
  </si>
  <si>
    <t>108/12/05-108/12/13</t>
  </si>
  <si>
    <t>華盛頓特區(Washington) 波士頓(Boston,Massachuseetts)</t>
  </si>
  <si>
    <t>食用真菌和病源細菌的多醣體之化學研究及其應用(2/3)_108-2113-M-001-008-</t>
  </si>
  <si>
    <t>Attend the 11th ACGG(Asian Community of Glycoscience and Glycotechnology) Conference as Chair, Speaker, and Representative</t>
  </si>
  <si>
    <t>108/11/10-108/11/15</t>
  </si>
  <si>
    <t>釜山(Pusan)</t>
  </si>
  <si>
    <t>小鼠腦組織深度醣質體分析及鑑定其功能性特殊末端醣質表位之分佈於關鍵膜醣蛋白_106-2311-B-001-014-MY3</t>
  </si>
  <si>
    <t>了解國際醣質科學發展現況與新知，並匯整研究成果張貼海報</t>
  </si>
  <si>
    <t>108/08/23-108/09/14</t>
  </si>
  <si>
    <t>HECT E3 酵素在泛素代謝系統內的運作機轉, 功能, 結構與藥物開發_106-2321-B-001-050-MY3</t>
  </si>
  <si>
    <t>宮崎(Miyazaki)</t>
  </si>
  <si>
    <t>利用胜?作為新世代經濟作物保護劑與次級代謝物促進劑之研究開發(3/3)_MOST108-2321-B-002-052</t>
  </si>
  <si>
    <t>參加2019 6th congress of Asia college of Neuropsychopharmacology (AsCNP) 並演講</t>
  </si>
  <si>
    <t>108/10/10-108/10/14</t>
  </si>
  <si>
    <t>Siglec-15在腫瘤小鼠中對於髓細胞偏化之造血作用的功能探討_107-2311-B-001-034-</t>
  </si>
  <si>
    <t>Attend GLYCO25 and present the progress in the project funded by MOST (2018.8.1-2019.7.31)</t>
  </si>
  <si>
    <t>108/08/24-108/09/04</t>
  </si>
  <si>
    <t>以物理化學方法分析扭結構型在蛋白質折疊自由能景觀與路徑的拓撲貢獻_107-2628-M-001-005-MY3</t>
  </si>
  <si>
    <t>參加2019 Gordon Research Conference "Proteins"並以海報形式發表研究成果</t>
  </si>
  <si>
    <t>Holderness</t>
  </si>
  <si>
    <t>本次參加會議有受邀演講，另有學生與博後共有壁報論文四篇發表</t>
  </si>
  <si>
    <t>108/08/23-108/09/04</t>
  </si>
  <si>
    <t>探討大腸桿菌透過代謝酵素調節細胞生長分裂及形態尺寸的機制_107-2311-B-001-023-</t>
  </si>
  <si>
    <t>科技部計畫名稱：探討大腸桿菌透過代謝酵素調節細胞生長分裂及形態尺寸的機制 此會議主題內容契合研究計畫主題，參與會議預期能學習領域最新發展，與領域內人員交流溝通。</t>
  </si>
  <si>
    <t>lund</t>
  </si>
  <si>
    <t>鑑定並表徵銀杏樹之銀杏內酯的生物合成途徑_107-2320-B-001-025-MY3</t>
  </si>
  <si>
    <t>受邀參加第六屆植物基因體會議 6th Plant Genomics &amp; Gene Editing Congress: Asia, Kuala Lumpur, Malaysia，擔任講員，發表本研究室研究</t>
  </si>
  <si>
    <t>108/07/28-108/07/31</t>
  </si>
  <si>
    <t>探討Flower鈣離子通道與磷酸肌醇4,5二磷酸互相作用在神經突觸小泡囊回收與人類疾病上的重要性_107-2311-B-001-003-MY3</t>
  </si>
  <si>
    <t>昆明(kunming)</t>
  </si>
  <si>
    <t>出席第25屆國際醣質會議 (25th International Symposium on Glycoconjugates) 並擔大會演講者</t>
  </si>
  <si>
    <t>108/08/24-108/09/02</t>
  </si>
  <si>
    <t>科技部補助團隊參與Glyco25</t>
  </si>
  <si>
    <t>參加25th International Symposium on Glycoconjugates</t>
  </si>
  <si>
    <t>科技部補助團隊參與國際學術組織會議(108-2919-I-001-001-AI)</t>
  </si>
  <si>
    <t>參加團隊出席國際會議(本次參加會議有受邀演講，另有學生與博後共有壁報論文四篇發表)</t>
  </si>
  <si>
    <t>為執行文化部「Creative Comic Collection 創作集漫畫人文期刊出版計畫III」計畫業務，前往日本東京採訪漫畫家及出版社，以供《Creative Comic Collection 創作集》刊載。</t>
  </si>
  <si>
    <t>108/07/24-108/08/02</t>
  </si>
  <si>
    <t>108/07/24-108/07/31</t>
  </si>
  <si>
    <t>亞洲佛教藝術圖典與知識系統之建構(II-III)-為佛教藝術圖像設計之知識本體及數位研究工具_MOST 106-2420-H-001-021-MY2</t>
  </si>
  <si>
    <t>因執行科技部補助專題研究計畫「亞洲佛教藝術圖典與知識系統之建構(II-III)－為佛教藝術圖像設計之知識本體及數位研究工具(1/2、2/2)」需要，前往英國倫敦出席The Sixth International Society for Knowledge Organization UK Biennial conference，並發表論文。</t>
  </si>
  <si>
    <t>108/07/13-108/07/28</t>
  </si>
  <si>
    <t>108/07/24-108/08/04</t>
  </si>
  <si>
    <t>十八世紀英國的宗教與商業經濟_MOST 106-2410-H-001-074-MY2</t>
  </si>
  <si>
    <t>因執行科技部計畫「十八世紀英國的宗教與商業經濟」需要，前往英國愛丁堡大學參加The ISECS International Congress on the Enlightenment，並發表論文。</t>
  </si>
  <si>
    <t>108/07/10-108/07/25</t>
  </si>
  <si>
    <t>愛丁堡(Edinburgh) 倫敦(London)</t>
  </si>
  <si>
    <t>發現敦煌之前與之後：世界學術的交會_MOST 106-2410-H-001-063-MY2</t>
  </si>
  <si>
    <t>因執行科技部計畫「發現敦煌之前與之後：世界學術的交會」需要，前往美國麻薩諸塞大學阿默斯特分校，參加The Society for the History of Authorship, Reading and Publishing(SHARP) 2019 Annual Conference，並發表論文。</t>
  </si>
  <si>
    <t>108/07/14-108/07/25</t>
  </si>
  <si>
    <t>阿默斯特(Amherst) 劍橋(Cambridge,Massachusetts)</t>
  </si>
  <si>
    <t>臺德(DE)國合計畫－醫藥文化的物質性：介於歐洲與東亞之間_MOST 107-2923-H-001-001-MY3</t>
  </si>
  <si>
    <t>因執行科技部補助「臺德(DE)國合計畫—醫藥文化的物質性：介於歐洲與東亞之間」需要，前往德國布倫瑞克，參加The Workshop on Materialities of Medical Culture in/between Europe and East Asia I: Towards a Global History of Drugs，並發表論文；會後轉赴柏林國家圖書館等處蒐集資料。</t>
  </si>
  <si>
    <t>108/07/02-108/07/15</t>
  </si>
  <si>
    <t>德國布倫瑞克(Braunschweig) 柏林(Berlin)</t>
  </si>
  <si>
    <t>因執行科技部補助「臺德(DE)國合計畫—醫藥文化的物質性：介於歐洲與東亞之間」需要，前往德國布倫瑞克(Braunschweig)，參加 Materialities of Medical Culture in/between Europe and East Asia I:Towards a Global History of Drugs工作坊，並發表論文。</t>
  </si>
  <si>
    <t>布倫瑞克(Braunschweig)， 布倫瑞克(Braunschweig) 達姆斯塔特(Darmstadt)</t>
  </si>
  <si>
    <t>因執行科技部補助「臺德(DE)國合計畫—醫藥文化的物質性：介於歐洲與東亞之間」需要，前往德國布倫瑞克，參加 The Workshop on Materialities of Medical Culture in/between Europe and East Asia I: Towards a Global History of Drugs，並發表論文。</t>
  </si>
  <si>
    <t>布倫瑞克(Braunschweig) 柏林(Berlin)</t>
  </si>
  <si>
    <t>108/07/02-108/07/19</t>
  </si>
  <si>
    <t>德國布倫瑞克(Braunschweig)</t>
  </si>
  <si>
    <t>德國(Germany) 瑞士(Switzerland)</t>
  </si>
  <si>
    <t>德國布倫瑞克(Braunschweig) 布倫瑞克(Braunschweig) 日內瓦(Geneva)</t>
  </si>
  <si>
    <t>成都平原十二橋文化時期金沙聚落之發展_106-2410-H-001-083-MY3</t>
  </si>
  <si>
    <t>因執行科技部計畫「成都平原十二橋文化時期金沙聚落之發展」需要，前往加州大學洛杉磯分校參加The Art and Archaeology of Ritual and Economy in East Asia: Symposium and Festschrift in Honor of Lothar von Falkenhausen，並發表論文。</t>
  </si>
  <si>
    <t>108/06/04-108/06/10</t>
  </si>
  <si>
    <t>醫藥文化的物質性：介於歐洲與東亞之間_107-2923-H-001-001-MY3</t>
  </si>
  <si>
    <t>因執行科技部補助「臺德(DE)國合計畫—醫藥文化的物質性：介於歐洲與東亞之間」計畫需要，前往德國布倫瑞克(Braunschweig)，參加The Workshop on Materialities of Medical Culture in/between Europe and East Asia I:Towards a Global History of Drugs，並發表論文。</t>
  </si>
  <si>
    <t>108/06/26-108/07/08</t>
  </si>
  <si>
    <t>布倫瑞克(Braunschweig) 基爾市(Kiel)</t>
  </si>
  <si>
    <t>因執行科技部補助「臺德(DE)國合計畫—醫藥文化的物質性：介於歐洲與東亞之間」需要，前往德國布倫瑞克，參加The workshop on Materialities of Medical Culture in/between Europe and East Asia I:Towards a Global History of Drugs工作坊，並發表論文。</t>
  </si>
  <si>
    <t>108/07/02-108/07/07</t>
  </si>
  <si>
    <t>布倫瑞克(Braunschweig)</t>
  </si>
  <si>
    <t>毒藥貓理論：人類集體恐懼、猜疑與暴力的社會根源_105-2420-H-001-007-MY4</t>
  </si>
  <si>
    <t>因執行科技部人文行遠專書寫作計畫「毒藥貓理論: 人類集體恐懼、猜疑與暴力的社會根源」需要，前往加州大學洛杉磯分校參加The Art and Archaeology of Ritual and Economy in East Asia: Symposium and Festschrift in Honor of Lothar von Falkenhausen，並發表論文。</t>
  </si>
  <si>
    <t>108/06/05-108/06/12</t>
  </si>
  <si>
    <t>洛杉磯(Los Angeles,California) 舊金山(San Francisco,California)</t>
  </si>
  <si>
    <t>為執行「Creative Comic Collection 創作集漫畫人文期刊出版計畫III」計畫業務，前往比利時布魯塞爾參加2019年布魯塞爾漫畫節，採訪取材以供《Creative Comic Collection 創作集》刊載。</t>
  </si>
  <si>
    <t>108/09/10-108/09/19</t>
  </si>
  <si>
    <t>108/09/10-108/09/25</t>
  </si>
  <si>
    <t>因執行科技部計畫「巴布亞新幾內亞Mussau群島Lapita陶器岩象分析」需要，前往巴布亞新幾內亞摩士比港(Port Moresby)，參加The 9th International Lapita Conference，並發表論文。</t>
  </si>
  <si>
    <t>108/10/14-108/10/20</t>
  </si>
  <si>
    <t>巴布亞紐幾內亞(Papua New Guinea)</t>
  </si>
  <si>
    <t>摩士比港(Port Moresby)</t>
  </si>
  <si>
    <t>因執行科技部計畫「國際圖像互通架構應用於數位人文學之研究：以簡牘字典為例」需要，前往新加坡南洋理工大學參加「太平洋鄰里協會2019年年會暨聯合會議」，並發表專題演講。</t>
  </si>
  <si>
    <t>108/10/14-108/10/19</t>
  </si>
  <si>
    <t>科技部補助許凱翔出席國際會議，補助編號:108-2914-I-001-035-A1</t>
  </si>
  <si>
    <t>前往日本福岡市、熊本市參加「第71回東洋史研究會日臺中國史研究者交流會」及「第45回(2019年)日本宋代史研究會夏合宿」，會後前往太宰府市、福岡市及長崎市考察相關宗教場所，以對東亞各國宗教場所有進一步的觀察。</t>
  </si>
  <si>
    <t>108/08/25-108/09/02</t>
  </si>
  <si>
    <t>福岡(Fukuoka) 熊本(Kumamoto)</t>
  </si>
  <si>
    <t>發表與研究計劃相關之論文。</t>
  </si>
  <si>
    <t>108/06/30-108/07/15</t>
  </si>
  <si>
    <t>泰國(Thailand) 馬來西亞(Malaysia)</t>
  </si>
  <si>
    <t>曼谷(Bangkok) 吉隆坡(Kuala Lumpur)</t>
  </si>
  <si>
    <t>參加國際學術會議發表計畫研究成果</t>
  </si>
  <si>
    <t>台灣茶文化的新創及其全球化_105-2410-H-001-080-MY3</t>
  </si>
  <si>
    <t>參加亞洲國際學者大會，發表文章Performing elegance in Taiwan’s “literati tea” ritual。此會議是亞洲研究領域的國際會議，本人為Panel「Sensory, Memory and Identity II」的會議主持人以及發表者，其主題聚焦於東亞國家日常生活中五種感官的各種文化習俗和相互關係，並討論其政治和經濟之影響。</t>
  </si>
  <si>
    <t>108/07/12-108/07/25</t>
  </si>
  <si>
    <t>參加國際會議與赴緬甸進行田野調查</t>
  </si>
  <si>
    <t>108/07/11-108/08/01</t>
  </si>
  <si>
    <t>泰國(Thailand) 緬甸(Burma)</t>
  </si>
  <si>
    <t>曼谷(Bangkok) 仰光(Rangoon)</t>
  </si>
  <si>
    <t>花東阿美與噶瑪蘭人的儀式治病展演：流動的邊界、相互的主體與動態的變遷_108-2410-H-001-080-MY2</t>
  </si>
  <si>
    <t>參加國際巫信仰研究學會（International Society for Academic Research on Shamanism)主辦之研討會發表論文，並於會後作田野參訪。</t>
  </si>
  <si>
    <t>108/11/25-108/12/12</t>
  </si>
  <si>
    <t>智利(Chile) 秘魯(Peru)</t>
  </si>
  <si>
    <t>聖地牙哥(Santiago) Easter Island 庫斯科(Cuzco) 利馬(Lima) 馬丘比丘</t>
  </si>
  <si>
    <t>文化產業化、族群觀光及地方想像：桃園及澳門兩地緬甸相關文化慶典之比較_107-2410-H-001-095-MY3</t>
  </si>
  <si>
    <t>參加第六十四屆美國民族音樂學年會(SEM)</t>
  </si>
  <si>
    <t>108/11/04-108/11/14</t>
  </si>
  <si>
    <t>Indianapolis</t>
  </si>
  <si>
    <t>108年度臺灣-荷蘭雙邊科技研討會_108-2911-I-001-522</t>
  </si>
  <si>
    <t>108年度臺灣─荷蘭雙邊研討會案「重置自然世界：近代早期中國的動物、植物與自然生態，1000-1900」進行發表與學術交流。</t>
  </si>
  <si>
    <t>108/12/04-108/12/10</t>
  </si>
  <si>
    <t>赴Leiden University 執行科技部台荷合作計畫</t>
  </si>
  <si>
    <t>108/12/03-108/12/18</t>
  </si>
  <si>
    <t>Leiden 劍橋(Cambridge)</t>
  </si>
  <si>
    <t>108/12/05-108/12/10</t>
  </si>
  <si>
    <t>台荷計劃「Reordering the Natural World: Animals, Plants, and the Natural Environment in Early Modern China (1000-1900)」會議，宣讀“Reframing Materia Medica: Hiraga Gennai’s Medicinal Activities and Writings”。</t>
  </si>
  <si>
    <t>108/12/01-108/12/10</t>
  </si>
  <si>
    <t>荷蘭(Netherlands) 法國(France)</t>
  </si>
  <si>
    <t>萊頓（Leiden） 巴黎(Paris)</t>
  </si>
  <si>
    <t>清中葉後的皇室財政（1796-1911）_107-2410-H-001-005-MY3</t>
  </si>
  <si>
    <t>本次出國為執行科技部「清中葉後的皇室財政」，蒐集荷蘭東印度公司販賣到宮廷的金線、羽緞、顏料、金屬等。原本計畫去北京開會，但因另有經費，改參加荷蘭萊登大學開會。</t>
  </si>
  <si>
    <t>108/12/05-108/12/17</t>
  </si>
  <si>
    <t>萊登 阿姆斯特丹(Amsterdam)</t>
  </si>
  <si>
    <t>108/12/02-108/12/10</t>
  </si>
  <si>
    <t>荷蘭(Netherlands) 德國(Germany)</t>
  </si>
  <si>
    <t>Leiden 德勒斯登(Dresden)</t>
  </si>
  <si>
    <t>中醫藥臨床研究的興起 1920-1974_107-2410-H-001-010-MY3</t>
  </si>
  <si>
    <t>因執行科技部補助「臺德(DE)國合計畫—醫藥文化的物質性：介於歐洲與東亞之間」需要，前往德國布倫瑞克，參加The workshop on Materialities of Medical Culture in/between Europe and East Asia I: Towards a Global History of Drugs，並發表論文。</t>
  </si>
  <si>
    <t>布倫瑞克</t>
  </si>
  <si>
    <t>痰的管理與其現代轉化: 以物質史為中心重探衛生現代性_MOST 104-2410-H-001-045-MY3</t>
  </si>
  <si>
    <t>至History of Science society 發表論文 A Science without Nature in China Heaven (Tian), Morality and Darwinian Competition from 1890 to1923.</t>
  </si>
  <si>
    <t>Utrecht</t>
  </si>
  <si>
    <t>至韓國參與 International Conference on the History of Science in East Asia，報告一篇論文，並擔任兩個場次的主持人</t>
  </si>
  <si>
    <t>108/08/17-108/08/24</t>
  </si>
  <si>
    <t>Jeonju 首爾(Seoul)</t>
  </si>
  <si>
    <t>北京、廣東與宮廷：十八世紀中國花鳥畫、本草圖與西式植物圖繪的交會_108-2410-H-001-050-MY3</t>
  </si>
  <si>
    <t>赴Florence 參加The 35th CIHA World Congress （9/1-9/6），此為四年一次最重要的世界藝術史大會，發表「The Literati Baimiao Tradition Encountering European Drawings at the Qianlong Court of the 18th Century」。</t>
  </si>
  <si>
    <t>108/08/31-108/09/11</t>
  </si>
  <si>
    <t>使用跨期極值的波動預測模型_108-2410-H-001-035-</t>
  </si>
  <si>
    <t>關聯結構法與動態資產配置的經濟價值。 108年10月08日至108年10月23日參加第二十九屆歐亞商業和經濟學會議-里斯本 (29th EBES Conference - Lisbon)。</t>
  </si>
  <si>
    <t>108/10/08-108/10/23</t>
  </si>
  <si>
    <t>不完全資訊下可理性化的執行_107-2410-H-001-113-MY2</t>
  </si>
  <si>
    <t>赴美國紐約參加石溪大學第30屆賽局理論國際會議，再赴俄亥俄州辛辛納提大學進行研究訪問。</t>
  </si>
  <si>
    <t>108/07/01-108/08/05</t>
  </si>
  <si>
    <t>紐約市(New York,New York) 辛辛納提</t>
  </si>
  <si>
    <t>赴英國蘇格蘭參與第27屆IIOA國際會議並發表論文。</t>
  </si>
  <si>
    <t>108/06/29-108/07/07</t>
  </si>
  <si>
    <t>格拉斯哥</t>
  </si>
  <si>
    <t>赴波蘭華沙參加GTAP第22屆國際年會，並發表論文。</t>
  </si>
  <si>
    <t>波蘭(Poland)</t>
  </si>
  <si>
    <t>華沙(Warsaw)</t>
  </si>
  <si>
    <t>擬真關聯結構_107-2410-H-001-112-MY2</t>
  </si>
  <si>
    <t>2019計量經濟學會澳大拉西亞會議</t>
  </si>
  <si>
    <t>108/06/29-108/07/04</t>
  </si>
  <si>
    <t>伯斯(Perth)</t>
  </si>
  <si>
    <t>關聯結構法與動態資產配置的經濟價值_106-2410-H-001-013-MY2</t>
  </si>
  <si>
    <t>關聯結構法與動態資產配置的經濟價值。 108年09月08日至108年09月17日參加第五屆機器學習、優化和數據科學國際會議(LOD 2019)。</t>
  </si>
  <si>
    <t>108/09/08-108/09/17</t>
  </si>
  <si>
    <t>西恩納(Siena)</t>
  </si>
  <si>
    <t>108年6月28日至7月5日赴以色列耶路撒冷參加「第26屆國際金融協會年度研討會」並發表論文。</t>
  </si>
  <si>
    <t>108/06/28-108/07/05</t>
  </si>
  <si>
    <t>耶路撒冷(Jerusalem)</t>
  </si>
  <si>
    <t>混合整數最佳化在計量經濟方法的應用_107-2410-H-001-029-MY2</t>
  </si>
  <si>
    <t>出席Singapore Economic Review Conference及受邀請至新加坡管理大學進行短期訪問</t>
  </si>
  <si>
    <t>108/08/04-108/08/12</t>
  </si>
  <si>
    <t>間接引文的資訊意義_107-2410-H-001-042-</t>
  </si>
  <si>
    <t>參加第十三屆東亞契約理論學術會議(日本橫濱)並擔任會議主持人</t>
  </si>
  <si>
    <t>108/12/06-108/12/08</t>
  </si>
  <si>
    <t>至美國劍橋參加美國全國經濟研究所（NBER）舉辦之會議「Income and Life Expectancy: What Can Be Learned from International Comparisons」，與共同作者共同發表論文</t>
  </si>
  <si>
    <t>108/09/03-108/09/07</t>
  </si>
  <si>
    <t>劍橋(Cambridge,Massachusetts)</t>
  </si>
  <si>
    <t>付費與非付費課後學業輔導的參與及效果_106-2410-H-001-052-MY2</t>
  </si>
  <si>
    <t>108/06/07-108/06/09</t>
  </si>
  <si>
    <t>「意向等同」探究：描述的作用_107-2410-H-001-108-MY2</t>
  </si>
  <si>
    <t>赴加拿大多倫多出席47th Annual Meeting of the Society for Exact Philosophy，並發表論文（5月17至19日）</t>
  </si>
  <si>
    <t>108/05/15-108/05/26</t>
  </si>
  <si>
    <t>多倫多(Toronto) 渥太華(Ottawa)</t>
  </si>
  <si>
    <t>落地轉譯：外文研究在台灣的發展軌跡_106-2420-H-001-015-MY4</t>
  </si>
  <si>
    <t>108/07/31-108/08/04</t>
  </si>
  <si>
    <t>Dumaguete City</t>
  </si>
  <si>
    <t>美國有機農業與1970年代反文化運動_106-2410-H-001-022-MY2</t>
  </si>
  <si>
    <t>108/06/05-108/07/09</t>
  </si>
  <si>
    <t>戴維斯(Davis, California) 舊金山(San Francisco,California)</t>
  </si>
  <si>
    <t>出國參加COMPARATIVE &amp; INTERNATIONAL EDUCATION SOCIETY CIES 2019 San Francisco Education for Sustainability 63rd Annual Conference發表學術研究論文</t>
  </si>
  <si>
    <t>108/08/10-108/08/26</t>
  </si>
  <si>
    <t>由正常組織基因轉錄及表觀體學之特徵解釋基因突變頻率在不同癌症種類的差異_107-2118-M-001-007-</t>
  </si>
  <si>
    <t>赴瑞士出席國際會議ISMB is the flahship international conference of computational biology. I am presenting a poster about modelling cancer subclone dynamics and designing treatments.</t>
  </si>
  <si>
    <t>108/07/20-108/07/30</t>
  </si>
  <si>
    <t>從正向角度看長者的知覺、認知、與情緒的改變-以情 反應抑制作業探討年輕人 老年人在情緒和認知的交_106-2420-H-001-006-MY2</t>
  </si>
  <si>
    <t>赴 Rome, Italy 參加每年一次腦成像會議-第25屆人類大腦成像年會The 25nd Annual Meeting of the Organization for Human Brain Mapping (OHBM)</t>
  </si>
  <si>
    <t>108/06/07-108/06/13</t>
  </si>
  <si>
    <t>時間序列分析的兩個主題以及貝氏統計方法在試題反應模型的應用_106-2118-M-001-003-MY2</t>
  </si>
  <si>
    <t>到智利的聖地亞哥參加2019年國際心理計量學會年會（IMPS 2019）並發表學術演講。</t>
  </si>
  <si>
    <t>108/07/11-108/07/22</t>
  </si>
  <si>
    <t>智利(Chile)</t>
  </si>
  <si>
    <t>聖地牙哥(Santiago)</t>
  </si>
  <si>
    <t>函數與長期追蹤資料之維度縮減問題_106-2118-M-001-018-MY2</t>
  </si>
  <si>
    <t>參加 Joint Statistical Meeting 2019 發表演講</t>
  </si>
  <si>
    <t>屬質資料矩陣視覺化與探索式分析方法之比較_107-2118-M-001-004-MY2</t>
  </si>
  <si>
    <t>參加 2019 Joint Statistical Meetings (JSM 2019)． 本次會議，除參與ISI在JSM2019聯合統計會議舉辦之相關活動；並參加本所於 JSM2018 主辦之中華統計學誌 (Statistica Sinica) 編輯會議．</t>
  </si>
  <si>
    <t>聚集區域資料之空間估計及推論_106-2118-M-001-002-MY3</t>
  </si>
  <si>
    <t>出席2019歐洲統計年會「2019 European Meeting of Statisticians 」</t>
  </si>
  <si>
    <t>108/07/20-108/08/03</t>
  </si>
  <si>
    <t>到智利的聖地亞哥參加2019年國際心理計量學會年會（IMPS 2019）並發表學術演講，演講題目: Applying Bootstrap to the Odds Ratios Methods for DIF Detection。作者: 蔡恆修和蘇雅蕙</t>
  </si>
  <si>
    <t>國際統計學會理事會任務之執行，暨相關國際學術工作之推廣108年_108-2911-I-001-512</t>
  </si>
  <si>
    <t>1.出席 ISI (International Statistical Institute) Council Meeting (August 17, 2019) 2.出席 ISI2019 (62nd World Statistics Congress).</t>
  </si>
  <si>
    <t>108/08/16-108/08/23</t>
  </si>
  <si>
    <t>衰變試驗資料之建模與推論-貝氏方法在衰變分析之研究_106-2118-M-001-013-MY3</t>
  </si>
  <si>
    <t>The 11th international conference on Extreme Value Analysis (Zagreb, Croatia,7/1-5) 和The 34th edition of the International Workshop on Statistical Modelling (Guimaraes, Portugal, 7/7-12) 第11屆極值分析國際研討會</t>
  </si>
  <si>
    <t>108/06/24-108/07/23</t>
  </si>
  <si>
    <t>克羅埃西亞(Croatia) 葡萄牙(Portugal)</t>
  </si>
  <si>
    <t>札格雷布(Zagreb) Guimarães</t>
  </si>
  <si>
    <t>整合癌症存活及複合型基因體資料之統計方法_105-2118-M-001-014-MY3</t>
  </si>
  <si>
    <t>本次出國係受邀參加The 6th ISBS，並發表演講及擔任panelist。演講內容為Causal mediation of semi-competing risks，發表最近發展的統計方法，可用於分析癌症存活之歸因；同時亦會於另一場次擔任panelist，內容主要是討論如何找出在醫藥應用上有意義的estimand及因果推論。</t>
  </si>
  <si>
    <t>108/08/25-108/08/30</t>
  </si>
  <si>
    <t>功能性磁振影像整合分析(III)　　 　　　 　_MOST 107-2410-H-001-111-</t>
  </si>
  <si>
    <t>出國參加62nd ISI World Statistics Congress 2019。會議期間將貼海報展示研究內容與進展。</t>
  </si>
  <si>
    <t>108/08/16-108/08/26</t>
  </si>
  <si>
    <t>複雜多變量存活資料的統計分析-方法學發展與實際醫學應用的整合-臨床試驗治療轉變與群聚或多變量存活分析中的相依設限問題_106-2118-M-001-016-MY3</t>
  </si>
  <si>
    <t>至京都日本出席The 6th International Symposium on Biopharmaceutical Statistics</t>
  </si>
  <si>
    <t>108/08/26-108/09/01</t>
  </si>
  <si>
    <t>參加研討會。會議名稱：The VIth International Society for Biopharmaceutical Statistics。</t>
  </si>
  <si>
    <t>生殖醫學數據分析_06T-1070830-1Q</t>
  </si>
  <si>
    <t>至京都日本出席The 6th International Symposium on Biopharmaceutical Statistics，發表論文並給予poster presentation.</t>
  </si>
  <si>
    <t>108/08/25-108/09/04</t>
  </si>
  <si>
    <t>以隨機演算法解決大型估計問題_106-2118-M-001-006-MY2</t>
  </si>
  <si>
    <t>赴日本札幌參加亞太計算與資訊科技學會年會(APSCIT Annual Meeting)。</t>
  </si>
  <si>
    <t>108/07/27-108/08/01</t>
  </si>
  <si>
    <t>族群人種對藥物基因體與藥物表觀基因體之影響_106-2314-B-001-003-MY3</t>
  </si>
  <si>
    <t>赴美國休士頓出席第69屆美國人類遺傳學會年會。Attending the 69th Annual Meeting of the American Society of Human Genetics (ASHG 2019) at Houston, USA during Oct 15-19 and present our research results.</t>
  </si>
  <si>
    <t>108/10/13-108/10/21</t>
  </si>
  <si>
    <t>休士頓(Houston,Texas)</t>
  </si>
  <si>
    <t>使用隨機函數為預測變量之建模、預測及其應用_107-2118-M-001-001-MY3</t>
  </si>
  <si>
    <t>赴英國倫敦出席第12屆歐洲資訊及數學聯盟之計算暨方法統計國際研討會The 12th International Conference of the ERCIM WG on Computational and Methodological Statistics (CMStatistics 2019)</t>
  </si>
  <si>
    <t>108/12/13-108/12/22</t>
  </si>
  <si>
    <t>受邀前往葡萄牙Lisbon里斯本出席Complex Networks 2019複雜網絡2019國際會議並於會中發表演講, 以及受邀前往葡萄牙Porto波爾圖訪問Universidade do Porto波爾圖大學並於所上發表演講.</t>
  </si>
  <si>
    <t>108/12/09-108/12/26</t>
  </si>
  <si>
    <t>里斯本(Lisbon) 奧波多(Oporto)</t>
  </si>
  <si>
    <t>赴英國倫敦參加CFE-CMStatistics 2019會議。</t>
  </si>
  <si>
    <t>108/12/12-108/12/17</t>
  </si>
  <si>
    <t>高維問題之線上非線性降維法與應用-主成份分析的選模問題及具擴展性的幾何演算法_107-2118-M-001-012-MY3</t>
  </si>
  <si>
    <t>至日本早稻田大學移地研究並給演講</t>
  </si>
  <si>
    <t>108/11/05-108/11/08</t>
  </si>
  <si>
    <t>個人化奈米抗癌疫苗之製備與優化(1/3)_MOST108-2119-M-001-016-</t>
  </si>
  <si>
    <t>108年12月14日至12月18日，出席美國夏威夷舉行的【The 15th US-Japan Symposium on Drug Delivery Systems】</t>
  </si>
  <si>
    <t>108/12/13-108/12/21</t>
  </si>
  <si>
    <t>研發膠質化細胞體於免疫工程之應用(1/3)_MOST108-2628-B-001-010-</t>
  </si>
  <si>
    <t>108/12/11-108/12/19</t>
  </si>
  <si>
    <t>探索序列資料的維度降低與連鎖分析在稀少性變異資料的應用議題_106-2314-B-001-004-MY2</t>
  </si>
  <si>
    <t>108年10月15日至10月19日，出席美國休士頓舉行的【ASHG 2019 Annual Meeting】</t>
  </si>
  <si>
    <t>108/10/12-108/10/20</t>
  </si>
  <si>
    <t>探討CCR6/CCL20在調控先天免疫淋巴細胞與神經膠質細胞相互作用的角色_MOST108-2320-B-001-028-</t>
  </si>
  <si>
    <t>108年10月20日至10月23日，出席於奧地利維也納舉行的【第七屆國際細胞激素與干擾素研討會】</t>
  </si>
  <si>
    <t>108/10/18-108/10/28</t>
  </si>
  <si>
    <t>擴展機器學習及孟德爾隨機化方法於生物資料庫的剖析及應用_MOST108-2314-B-001-007-</t>
  </si>
  <si>
    <t>研究平衡核?轉運蛋白在神經發炎的生理及病理角色-以亨丁頓舞蹈症為疾病模型-研究ENT1及ENT4對亨丁頓舞蹈症之神經功能及發炎的生理及病理角色(2/3)_MOST108-2320-B-001-003-</t>
  </si>
  <si>
    <t>108年10月10日至10月13日，出席日本福岡舉行的【6th Congress of Asian College of Neuropsychopharmacology】</t>
  </si>
  <si>
    <t>108/10/10-108/10/13</t>
  </si>
  <si>
    <t>新型雙重作用機制1,2-雙（羥甲基）?咯並[2,1-a]??雜化物之設計、合成、及抗腫瘤作用(2/3)_MOST108-2320-B-001-002-</t>
  </si>
  <si>
    <t>108年10月26日至10月30日，出席於美國波士頓舉行的【AACR-NCI-EORTC International Conference on Molecular Targets and Cancer Therapeutics】</t>
  </si>
  <si>
    <t>108/10/25-108/11/05</t>
  </si>
  <si>
    <t>再生醫學科技發展計畫-臺灣心臟組織晶片計畫(3/3)_MOST108-2321-B-001-017-</t>
  </si>
  <si>
    <t>108年10月6日至10月10日，出席於愛爾蘭舉行的【Microbiome: Therapeutic Implications】</t>
  </si>
  <si>
    <t>108/10/05-108/10/13</t>
  </si>
  <si>
    <t>愛爾蘭(Ireland)</t>
  </si>
  <si>
    <t>Kerry</t>
  </si>
  <si>
    <t>建構控制能量代謝調節之神經迴路_107-2320-B-001-026-MY3</t>
  </si>
  <si>
    <t>108年10月18日至10月23日，出席於美國芝加哥舉行的【Neuron workshop/ Neurosciences 2019 Annual Meeting】</t>
  </si>
  <si>
    <t>108/10/15-108/10/26</t>
  </si>
  <si>
    <t>前列腺素E2促進心肌再生的機制研究_NHRI-EX108-10512SI</t>
  </si>
  <si>
    <t>出席108年11月24日至11月27日，於澳洲布里斯本舉行的 【15th Asian Pacific Congress of Hypertension】</t>
  </si>
  <si>
    <t>108/11/21-108/11/25</t>
  </si>
  <si>
    <t>以介白素21發展慢性B型肝炎治癒療法_105-2320-B-001-006-MY3</t>
  </si>
  <si>
    <t>108年5月9日至5月13日，出席於美國聖地牙哥舉行的【American Association of Immunologists 2019 Annual Meeting】</t>
  </si>
  <si>
    <t>108/05/08-108/05/15</t>
  </si>
  <si>
    <t>研究疼痛迴路中PVA的功能連接性和基於神經活動的蛋白質體學分析。_MOST108-2320-B-001-025-MY3</t>
  </si>
  <si>
    <t>108年9月4日至9月7日，出席於西班牙舉行的【第11屆歐洲聯合疼痛會議】</t>
  </si>
  <si>
    <t>108/08/31-108/09/14</t>
  </si>
  <si>
    <t>研究CPEB2蛋白所調控的與記憶相關的轉譯景觀_105-2311-B-001-078-MY3</t>
  </si>
  <si>
    <t>108年7月26日至7月30日，出席於美國舉行的【美國發育生物學第78屆年會】</t>
  </si>
  <si>
    <t>108/07/24-108/08/13</t>
  </si>
  <si>
    <t>光譜式核磁共振成像方法開發-應用於膠質母細胞瘤進程的微結構與代謝空間分佈分析_MOST107-2113-M-001-021-</t>
  </si>
  <si>
    <t>108年7月3日至7月6日，出席於新加坡舉行的【8th Asia-Pacific NMR2019 Symposium】</t>
  </si>
  <si>
    <t>半乳凝集素-3在人類免疫缺乏病毒之傳輸及其與宿主脂質和醣脂的關聯_106-2311-B-001-026-MY3</t>
  </si>
  <si>
    <t>108年5月9日至5月13日，出席於美國聖地牙哥舉行的【IMMUNOLOGY 2019】</t>
  </si>
  <si>
    <t>108/04/24-108/05/23</t>
  </si>
  <si>
    <t>聖地牙哥(San Diego,California) UC Davis</t>
  </si>
  <si>
    <t>可裝載佐劑之奈米載體用於流感病毒疫苗的研發(3/3)_MOST107-2119-M-001-042</t>
  </si>
  <si>
    <t>108年6月23日至6月28日，出席美國舉行的【2019 Cancer Nanotechnology Gordon Research Conference】</t>
  </si>
  <si>
    <t>108/06/22-108/06/29</t>
  </si>
  <si>
    <t>West Dover</t>
  </si>
  <si>
    <t>Siglec-E在動脈粥樣硬化過程中之角色_106-2320-B-001-020-MY3</t>
  </si>
  <si>
    <t>108年7月6日至7月11日，出席於波蘭舉行的【第44屆歐洲生化學會年會】</t>
  </si>
  <si>
    <t>108/07/04-108/07/17</t>
  </si>
  <si>
    <t>克拉科(Krakow)</t>
  </si>
  <si>
    <t>抵抗乙型類澱粉蛋白毒性之內生性神經保護機制探討：PIAS1磷酸化及E1k-1類小泛素化的角色(1/3)_MOST107-2320-B-001-020</t>
  </si>
  <si>
    <t>108年7月14日至7月18日，出席於美國洛杉磯舉行的【國際失智症研討會】</t>
  </si>
  <si>
    <t>108/07/12-108/07/20</t>
  </si>
  <si>
    <t>研究平衡核?轉運蛋白在神經發炎的生理及病理角色-以亨丁頓舞蹈症為疾病模型-研究ENT1及ENT4對亨丁頓舞蹈症之神經功能及發炎的生理及病理角色(1/3)_MOST107-2320-B-001-009</t>
  </si>
  <si>
    <t>108年6月16日至6月20日，出席於美國舉行的【Neural Environment in Disease: Glial Responses and Neuroinflammation】</t>
  </si>
  <si>
    <t>108/06/16-108/06/22</t>
  </si>
  <si>
    <t>Keystone</t>
  </si>
  <si>
    <t>針對克雷伯氏肺炎菌雙分子系統的PmrA反應調控蛋白發展高度有效的抑制劑_105-2320-B-001-019-MY3</t>
  </si>
  <si>
    <t>108年6月30日至7月3日，出席於美國西雅圖舉行的【The 33rd Annual Symposium of The Protein Society】</t>
  </si>
  <si>
    <t>108/06/18-108/07/06</t>
  </si>
  <si>
    <t>研究RBM4的RNA剪接調控功能對大腦皮質發育的影響_106-2311-B-001-015-MY3</t>
  </si>
  <si>
    <t>108年6月11日至6月16日，出席於波蘭舉行的【第24屆RNA學會年會】</t>
  </si>
  <si>
    <t>108/06/09-108/06/19</t>
  </si>
  <si>
    <t>探究內皮細胞SCUBE2於血管屏障完整性及病理性血管新生上扮演之角色_MOST107-2321-B-001-036-MY3</t>
  </si>
  <si>
    <t>108年4月6日至4月9日，出席於美國舉行的【Experimental Biology 2019】</t>
  </si>
  <si>
    <t>108/04/03-108/04/11</t>
  </si>
  <si>
    <t>NMDA/PKC/ERK訊息傳遞路徑在年輕及老年動物慢性疼痛發展過渡期的角色_105-2314-B-001-003-MY3</t>
  </si>
  <si>
    <t>108年3月28日至4月2日，出席於日本神戶及東京舉行的【1.9th FAOPS; 2. Spring International Conference 2019 on Neuroplastic brain mechanisms underlying chronic pain】</t>
  </si>
  <si>
    <t>108/03/27-108/04/05</t>
  </si>
  <si>
    <t>神戶(Kobe) 東京(Tokyo)</t>
  </si>
  <si>
    <t>分子剖析內皮細胞SCUBE2之生理與病理功能_MOST107-2320-B-001-015-MY3</t>
  </si>
  <si>
    <t>108年2月10日至2月14日，出席於美國舉行的【Keystone Symposium in Keystone: Molecular Approaches to Vaccines and Immune Monitoring】</t>
  </si>
  <si>
    <t>108/02/02-108/02/17</t>
  </si>
  <si>
    <t>Keystone, Colorado</t>
  </si>
  <si>
    <t>再生醫學科技發展計畫-臺灣心臟組織晶片計畫(2/3)_107-2321-B-001-029-</t>
  </si>
  <si>
    <t>108年3月10日至3月14日，出席於加拿大蒙特樓舉行的【Microbiome: Chemical Mechanisms and Biological Consequences (C3)】</t>
  </si>
  <si>
    <t>108/03/10-108/03/14</t>
  </si>
  <si>
    <t>動物設施聯盟--國家綜合小鼠表現型暨藥效分析中心_107-2319-B-001-002-</t>
  </si>
  <si>
    <t>參加澳洲墨爾本舉行之「2019 AMMRA &amp; AMPC meeting」討論會」</t>
  </si>
  <si>
    <t>108/02/18-108/02/27</t>
  </si>
  <si>
    <t>108年3月28日至3月31日，出席於日本神戶舉行的【第九屆FAOPS亞太神經科學學會年會】</t>
  </si>
  <si>
    <t>108/03/28-108/03/31</t>
  </si>
  <si>
    <t>闡明蛋白質迴圈結構的力學基本原理並將其應用於藥物設計_MOST108-2113-M-001-013-MY5</t>
  </si>
  <si>
    <t>108年9月30日至10月3日，出席於澳洲舉行的【The Asia-Pacific Association of Theoretical and Computational Chemists (APATCC) 2019】</t>
  </si>
  <si>
    <t>108/09/28-108/10/05</t>
  </si>
  <si>
    <t>心肌細胞異質性的機制：病理性肥大心臟中是否存在生理性肥大的心肌細胞？_MOST108-2320-B-001-017-MY3</t>
  </si>
  <si>
    <t>108年10月20日至10月23日，出席於澳洲伯斯舉行的【BLOOD 2019】</t>
  </si>
  <si>
    <t>108/09/27-108/11/05</t>
  </si>
  <si>
    <t>探討抓癢可以止癢的分子與神經生物學原理_MOST108-2320-B-001-021-MY3</t>
  </si>
  <si>
    <t>108年10月19日至10月23日，出席於美國芝加哥舉行的【Neuroscience 2019】</t>
  </si>
  <si>
    <t>108/10/19-108/10/25</t>
  </si>
  <si>
    <t>108年11月16日至11月18日，出席於美國費城舉行的【American Heart Association Scientific Sessions 2019】</t>
  </si>
  <si>
    <t>108/11/15-108/11/30</t>
  </si>
  <si>
    <t>108年11月27日至11月29日，出席於日本京都舉行的【CiRA 2019 International Symposia】</t>
  </si>
  <si>
    <t>108/11/23-108/11/30</t>
  </si>
  <si>
    <t>出席美國華盛頓「2019年臺美科技合作雙邊會議(MOST-NIH)</t>
  </si>
  <si>
    <t>受科技部邀請於108年7月14至19日前往美國華盛頓出席「2019年臺美科技合作雙邊會議(MOST-NIH)」。</t>
  </si>
  <si>
    <t>108/07/14-108/07/19</t>
  </si>
  <si>
    <t>108年7月16日至7月20日，出席於澳洲舉行的【ICMI2019 (19th International Congress of Mucosal Immunology)】</t>
  </si>
  <si>
    <t>108年7月16日至7月20日，出席於澳洲舉行的【19th International Congress of Mucosal Immunology】</t>
  </si>
  <si>
    <t>108/07/15-108/07/27</t>
  </si>
  <si>
    <t>108年8月31日至9月4日，出席於法國巴黎舉行的【ESC Congress 2019】</t>
  </si>
  <si>
    <t>108/08/30-108/09/15</t>
  </si>
  <si>
    <t>108/06/10-108/06/17</t>
  </si>
  <si>
    <t>108年3月26日至3月28日，出席於日本京都舉行的【第5屆亞太生命科學與生物工程學會年度世界會議】</t>
  </si>
  <si>
    <t>108/03/24-108/03/30</t>
  </si>
  <si>
    <t>共振偶極-偶極交互作用對?q磁誘發透明效應的影響_107-2112-M-001-003-</t>
  </si>
  <si>
    <t>出席國際光學及光電子學重要年度會議，受邀給予演講及張貼海報。</t>
  </si>
  <si>
    <t>參加Global Young Scientists Summit 2019並講解海報解說研究成果。</t>
  </si>
  <si>
    <t>108/01/20-108/01/30</t>
  </si>
  <si>
    <t>結合質譜與雷射光譜術探討芳香分子異構物與有機金屬三明治分子_107-2113-M-001-014-</t>
  </si>
  <si>
    <t>出席國際會議-International Symposium: Highly-excited States and Non-covalent Interactions(地點:英國斯/曼徹斯特)</t>
  </si>
  <si>
    <t>108/06/14-108/06/23</t>
  </si>
  <si>
    <t>曼徹斯特(Manchester)</t>
  </si>
  <si>
    <t>本計畫共同主持人黃念祖博士受邀赴日本沖繩參加「第58回日本生體醫工學會大會」並於會中給予一場演講,發表研究成果。</t>
  </si>
  <si>
    <t>108/06/05-108/06/09</t>
  </si>
  <si>
    <t>鑽石之奈米感測_107-2112-M-001-002-</t>
  </si>
  <si>
    <t>參加國際會議並張貼壁報，與相關領域學者討論交流。</t>
  </si>
  <si>
    <t>108/05/26-108/06/02</t>
  </si>
  <si>
    <t>Milwaukee</t>
  </si>
  <si>
    <t>以脈衝雷射沉積與掃描式連續光雷射退火成長高錫含量且低缺陷密度的鍺錫薄膜來開發高品質中紅外光偵測器_107-2112-M-001-015-</t>
  </si>
  <si>
    <t>前往義大利參加 Nano M&amp;D 國際會議</t>
  </si>
  <si>
    <t>108/06/02-108/06/11</t>
  </si>
  <si>
    <t>薩勒諾 羅馬(Rome)</t>
  </si>
  <si>
    <t>二維/三維材料異質介面的製程及應用_105-2112-M-001-033-MY3</t>
  </si>
  <si>
    <t>前往捷克布拉格 Heyrovsky 物理化學研究所移地研究並參加2019石墨烯國際研討會</t>
  </si>
  <si>
    <t>108/06/14-108/07/02</t>
  </si>
  <si>
    <t>羅馬(Rome) 布拉格(Prauge)</t>
  </si>
  <si>
    <t>以高解析度雷射光譜術與量子化學計算探討有機金屬三明治化合物在絕熱膨脹下特別異常的物理和化學特性(1/2)_108-2923-M-001-004-</t>
  </si>
  <si>
    <t>1.出席國際會議-The XIX Symposium on High Resolution Molecular Spectroscopy 2.赴G.A. Razuvaev Institute of Organometallic Chemistry RA 俄羅斯國家科學院有機金屬科學研究所執行國際合作計劃</t>
  </si>
  <si>
    <t>108/06/28-108/07/14</t>
  </si>
  <si>
    <t>Nizhny Novgorod</t>
  </si>
  <si>
    <t>控制多原子反應及漫遊機制_105-2113-M-001-019-MY3</t>
  </si>
  <si>
    <t>名稱:控制多原子反映及慢遊機制</t>
  </si>
  <si>
    <t>108/07/05-108/07/16</t>
  </si>
  <si>
    <t>Bozeman 舊金山(San Francisco,California) 芝加哥(Chicago,Illinois)</t>
  </si>
  <si>
    <t>利用第一原理隨機結構搜尋進行材料模擬_105-2112-M-001-007-MY3</t>
  </si>
  <si>
    <t>赴瑞士Lausanne出席CECAM (Centre Européen de Calcul Atomique et Moléculaire) 50 conference及發表壁報論文</t>
  </si>
  <si>
    <t>108/09/07-108/09/16</t>
  </si>
  <si>
    <t>Lausanne</t>
  </si>
  <si>
    <t>1. 赴日本名古屋參加The 13th Annual Meeting of the Japan Society for Molecular Science及發表壁報論文 2. 赴日本岡崎參加IMS-IAMS Joint Meeting</t>
  </si>
  <si>
    <t>108/09/16-108/09/22</t>
  </si>
  <si>
    <t>名古屋(Nagoya) 岡崎</t>
  </si>
  <si>
    <t>1.赴越南胡志明市參加The 4th International Conference on Computational Science and Engineering (ICCSE-4)及受邀演講 2.赴越南Dong Hoi參加44th Vietnam Conference on Theoretical Physics(VCTP44)及受邀演講</t>
  </si>
  <si>
    <t>108/07/23-108/08/01</t>
  </si>
  <si>
    <t>越南(Vietnam) 中國大陸(China)</t>
  </si>
  <si>
    <t>胡志明市(Ho Chi Minh City) 香港(Hong Kong) Dong Hoi</t>
  </si>
  <si>
    <t>赴美亞特蘭大參加ASMS會議</t>
  </si>
  <si>
    <t>Criegee 中間體之紅外光譜與反應動力學_106-2113-M-001-026-MY3</t>
  </si>
  <si>
    <t>To attend the International Conference for Advanced Vibrational Spectroscopy (ICAVS10) and give an invited talk.</t>
  </si>
  <si>
    <t>108/07/04-108/07/13</t>
  </si>
  <si>
    <t>不尋常二維材料之合成及其即時電子譜圖檢測_107-2119-M-001-032-MY3</t>
  </si>
  <si>
    <t>108/10/18-108/11/03</t>
  </si>
  <si>
    <t>表面增強拉曼散射之量子極限暨其細菌學應用研究(3/5)_108-2639-M-001-003-ASP</t>
  </si>
  <si>
    <t>前往日本京都大學參加學術研討會(Workshop on Optofluidics and Electrokinetics) 並受邀發表 演講</t>
  </si>
  <si>
    <t>108/11/06-108/11/09</t>
  </si>
  <si>
    <t>中紅外雙光梳之精密量測與瞬態吸收光譜_108-2112-M-001-001-MY3</t>
  </si>
  <si>
    <t>108/08/24-108/09/08</t>
  </si>
  <si>
    <t>赴澳洲雪梨參加The Ninth Conference of the Asia-Pacific Association of Theoretical and Computational Chemists (APATCC 2019)及受邀發表演講</t>
  </si>
  <si>
    <t>108/09/29-108/10/05</t>
  </si>
  <si>
    <t>108/09/16-108/09/24</t>
  </si>
  <si>
    <t>名古屋(Nagoya) 岡崎市</t>
  </si>
  <si>
    <t>赴瑞典參加第27屆AMC歐洲先進材料大會並於會中發表"表面增強拉曼散射之量子極限暨其細菌學應用研究"之研究成果</t>
  </si>
  <si>
    <t>赴韓國濟州參加The 5th International Conference on Molecular Simulation (ICMS 2019)及受邀演講</t>
  </si>
  <si>
    <t>108/11/02-108/11/06</t>
  </si>
  <si>
    <t>二維半導體場效元件之電子傳輸特性研究_106-2112-M-001-003-MY3</t>
  </si>
  <si>
    <t>前往美國波士頓參加2019年美國材料學會秋季會議(2019 MRS Fall Meeting and Exhibit)並於會議中發表研究成果</t>
  </si>
  <si>
    <t>108/12/01-108/12/08</t>
  </si>
  <si>
    <t>金屬硫硒半導體的成長與能源應用_107-2113-M-001-010-MY3</t>
  </si>
  <si>
    <t>前往美國波士頓參加 MRS Fall Meeting 2019</t>
  </si>
  <si>
    <t>108/11/28-108/12/09</t>
  </si>
  <si>
    <t>受邀赴澳洲Adelaide出席The 23rd East Asian Workshop on Chemical Dynamics(EAWCD23)及發表演講 (科技部專案補助編號:108-2919-I-001-002-A1)</t>
  </si>
  <si>
    <t>受邀赴澳洲Adelaide出席The 23rd East Asian Workshop on Chemical Dynamics(EAWCD23)及發表演講</t>
  </si>
  <si>
    <t>大氣化學中瞬態物種之光譜與動力學 107 -2911-I-001 -507 (雙邊研究計畫 科技部與法國在臺協會幽蘭計畫--人員交流互訪)</t>
  </si>
  <si>
    <t>訪問 Dr. Christa Fittschen 實驗室(CNRS, University Lille 1)</t>
  </si>
  <si>
    <t>107/07/19-107/07/28</t>
  </si>
  <si>
    <t>Lille</t>
  </si>
  <si>
    <t>表現型穩定性的機制和演化(4/5)_107-2321-B-001-010-</t>
  </si>
  <si>
    <t>參加在美國麻薩諸塞州伊斯頓市舉行之「演化的分子機制－戈登會議暨研討會」會議。</t>
  </si>
  <si>
    <t>108/06/04-108/06/16</t>
  </si>
  <si>
    <t>Easton</t>
  </si>
  <si>
    <t>探討Mec1與Tel檢查點激?對於酵母菌減數分裂同源染色體重組與聯會的影響_106-2311-B-001-016-MY3</t>
  </si>
  <si>
    <t>前往美國緬因州 Newry市參加「高登染色體動力學會議」，並順道前往安娜堡市密西根大學醫學院及克利夫蘭市克利夫蘭州立大學參訪、演講與討論研究合作相關事宜。</t>
  </si>
  <si>
    <t>108/06/11-108/06/30</t>
  </si>
  <si>
    <t>紐裡(Newry) 安娜堡(Ann Arbor) 克利夫蘭(Cleveland)</t>
  </si>
  <si>
    <t>剪接因子在剪接反應及反應準確度的調控(5/5)_107-2321-B-001-003-</t>
  </si>
  <si>
    <t>參加在波蘭克拉科夫市舉行之｢第24屆核醣核酸學會年會｣。</t>
  </si>
  <si>
    <t>108/06/09-108/06/25</t>
  </si>
  <si>
    <t>TDP-43蛋白在神經功能調控與神經退化疾病發展上的角色(3/3)_107-2321-B-001-016-</t>
  </si>
  <si>
    <t>參加在美國洛杉磯舉辦的｢5th Neurological Disorders Summit(NDS-2019)｣會議；並造訪加州大學爾灣分校(UCI)及舊金山分校(UCSF)。</t>
  </si>
  <si>
    <t>108/07/14-108/07/26</t>
  </si>
  <si>
    <t>洛杉磯(Los Angeles,California) Irvine 舊金山(San Francisco,California)</t>
  </si>
  <si>
    <t>參加在美國加州聖荷西市舉行之「Plant Biology 2019」會議。</t>
  </si>
  <si>
    <t>108/08/02-108/08/12</t>
  </si>
  <si>
    <t>參加在美國加州聖荷西市舉行之「2019美國植物學家年會」會議。</t>
  </si>
  <si>
    <t>108/07/31-108/08/14</t>
  </si>
  <si>
    <t>C型凝集素18(CLEC18)與類鐸受體配體交互作用的結構和功能研究_107-2311-B-001-033-MY3</t>
  </si>
  <si>
    <t>參加在奧地利維也納市舉行之「第32屆歐洲結晶學研討會」會議。</t>
  </si>
  <si>
    <t>108/08/17-108/08/28</t>
  </si>
  <si>
    <t>應邀前往美國加州聖荷西市出席｢2019美國植物學家年會｣。會後因研究計畫需要，前往加州大學戴維斯分校進行合作研究。</t>
  </si>
  <si>
    <t>前往德國Hannover市舉行之｢Keystone研討會:環境變遷相關的植物耐逆境能力｣會議。</t>
  </si>
  <si>
    <t>108/05/02-108/05/19</t>
  </si>
  <si>
    <t>開拓微型核糖核酸分子應用於中年好發漸凍人症之基因治療_NHRI-EX108-10831NI</t>
  </si>
  <si>
    <t>參加在希臘克里特島Chania舉行之「3rd International Conference on the Long and the Short of Non-Coding RNAs」會議。</t>
  </si>
  <si>
    <t>108/06/18-108/06/24</t>
  </si>
  <si>
    <t>Chania</t>
  </si>
  <si>
    <t>藉改變調節性T細胞XIAP表現量以調控其功能性(1/3)_107-2320-B-001-005-</t>
  </si>
  <si>
    <t>參加在波蘭克拉科(Krakow)市舉行之「第44屆歐洲生化學會聯合大會」會議。</t>
  </si>
  <si>
    <t>108/07/05-108/07/15</t>
  </si>
  <si>
    <t>參加在美國加州Anaheim舉行之「the 23rd International SMA Researcher and 2nd Annual Clinical Care Meetings」會議。</t>
  </si>
  <si>
    <t>108/06/27-108/07/14</t>
  </si>
  <si>
    <t>Anaheim</t>
  </si>
  <si>
    <t>酵母菌變性蛋白的多元結構_105-2311-B-001-056-MY3</t>
  </si>
  <si>
    <t>參加在美國華盛頓州西雅圖市舉行之「第三十三屆蛋白質年會」。</t>
  </si>
  <si>
    <t>108/06/26-108/07/06</t>
  </si>
  <si>
    <t>運用整合生物物理和生物化學方法以探索參與DNA複製再起始的PriA 解旋?和DnaD裝載蛋白的結構和功能_107-2311-B-001-032-MY3</t>
  </si>
  <si>
    <t>參加在美國西雅圖市舉行之「第三十三屆蛋白質學會年會」會議。</t>
  </si>
  <si>
    <t>108/06/26-108/07/09</t>
  </si>
  <si>
    <t>嬰兒點頭痙攣致病基因調控神經細胞形態及突觸可塑性_108-2311-B-001-008-MY3</t>
  </si>
  <si>
    <t>參加在韓國釜山市舉行之｢IBRO附屬會議｣，主題為｢突觸功能及神經迴路｣。</t>
  </si>
  <si>
    <t>108/09/18-108/09/21</t>
  </si>
  <si>
    <t>Studying cellular response to extrachromosomal telomere repeat DNA andits role in ALT cancer d_105-2311-B-001-055-MY3</t>
  </si>
  <si>
    <t>參加德國海德堡舉行之｢EMBO Workshop: Protein Synthesis and Translational Control｣。</t>
  </si>
  <si>
    <t>108/09/03-108/09/09</t>
  </si>
  <si>
    <t>核醣核酸降解導異常致抗病毒的防禦力下降之分子機制_107-2311-B-001-045-MY2</t>
  </si>
  <si>
    <t>參加在德國海德堡市舉行之｢從多重體學到機制-數據整合的挑戰｣會議。</t>
  </si>
  <si>
    <t>108/09/09-108/09/17</t>
  </si>
  <si>
    <t>TCTP 在活化的T細胞之功能及作用機轉研究_105-2320-B-001-014-MY3</t>
  </si>
  <si>
    <t>參加在德國Heidelberg舉行之「EMBO會議: 蛋白質合成及轉譯調控」。</t>
  </si>
  <si>
    <t>108/09/02-108/09/11</t>
  </si>
  <si>
    <t>參加在英國格拉斯哥(Glasgow)市舉行之「第十八屆國際植物細胞膜生物學會議」會議。</t>
  </si>
  <si>
    <t>神經病變相關之核醣核酸結合蛋白質之結構研究_105-2311-B-001-077-MY3</t>
  </si>
  <si>
    <t>參加美國舊金山市舉行之「美國微生物學會年度會議」及西雅圖市舉行之「蛋白質學會年度會議」。</t>
  </si>
  <si>
    <t>108/06/18-108/07/05</t>
  </si>
  <si>
    <t>舊金山(San Francisco,California) 西雅圖(Seattle,Washington)</t>
  </si>
  <si>
    <t>參加在英國格拉斯哥市舉行之「第十八屆國際植物細胞膜生物學會議」。</t>
  </si>
  <si>
    <t>108/07/06-108/07/19</t>
  </si>
  <si>
    <t>參加美國華盛頓州西雅圖市舉行之｢第33屆蛋白質年會｣。</t>
  </si>
  <si>
    <t>參加英國Glasgow市舉行之｢第18屆國際植物細胞膜生物研討會｣。</t>
  </si>
  <si>
    <t>108/07/02-108/07/13</t>
  </si>
  <si>
    <t>發展昆蟲桿狀病毒為新型高效能基因轉導蚊蟲細胞及個體的基礎及應用研究載體系統_107-2311-B-001-030-</t>
  </si>
  <si>
    <t>參加在英國Glasgow市舉行之「第8屆歐洲微生物學會年度會議」會議。</t>
  </si>
  <si>
    <t>研究果蠅腦中一個記憶神經迴路的發育過程_107-2311-B-001-042-MY3</t>
  </si>
  <si>
    <t>參加在美國紐約州冷泉港市舉行之「果蠅神經生物學會議」會議。</t>
  </si>
  <si>
    <t>108/09/30-108/10/07</t>
  </si>
  <si>
    <t>Cold Spring Harbor</t>
  </si>
  <si>
    <t>RNA技術平台與基因操控核心設施_108-2319-B-001-001-</t>
  </si>
  <si>
    <t>參加在美國紐約州冷泉港市舉行之「第5屆基因工程會議:CRISPS/Cas」。</t>
  </si>
  <si>
    <t>108/10/06-108/10/15</t>
  </si>
  <si>
    <t>應邀前往日本九州福岡出席｢第6屆亞洲神經心理藥物學會議｣。</t>
  </si>
  <si>
    <t>108/10/11-108/10/13</t>
  </si>
  <si>
    <t>主纖毛的結構、功能與細胞力學傳感-用斑馬魚模式研究主纖毛蛋白的功能(2/3)_108-2313-B-001-004-</t>
  </si>
  <si>
    <t>參加在西班牙Alicante市舉行之｢2019歐洲發育生物學會｣。</t>
  </si>
  <si>
    <t>Alicante</t>
  </si>
  <si>
    <t>羧基末端專一的蛋白質降解：其機制、功能與應用之探討(3/5)_108-2321-B-001-006-</t>
  </si>
  <si>
    <t>參加在韓國首爾市舉行之｢2019蛋白質末端年度會議｣。</t>
  </si>
  <si>
    <t>108/10/03-108/10/06</t>
  </si>
  <si>
    <t>參加德國Hannover市舉行之「Keystone研討會：環境變遷相關的植物耐逆境能力」會議。</t>
  </si>
  <si>
    <t>應邀參加在新加坡舉行之「第十六屆亞洲結晶學會大會」會議。</t>
  </si>
  <si>
    <t>108/12/16-108/12/23</t>
  </si>
  <si>
    <t>以多效桿狀病毒表現系統建立豬流行性下痢病毒類病毒顆粒次單位疫苗之生產平台（3/3）_108-2321-B-033-001-</t>
  </si>
  <si>
    <t>參加在美國密蘇里州聖路易市舉行之「2019美國昆蟲學會年會」。</t>
  </si>
  <si>
    <t>108/11/12-108/11/23</t>
  </si>
  <si>
    <t>St. Louis</t>
  </si>
  <si>
    <t>以安全的桿狀病毒構築含有多種人畜病毒抗原的仿病毒庫以從事各種病毒疾病的檢測(1/3)_108-2313-B-001-009-</t>
  </si>
  <si>
    <t>基底剛度依賴型細胞膜內胞吞機制在早期神經元突觸形態發生的角色_106-2311-B-001-017-MY3</t>
  </si>
  <si>
    <t>參加在美國伊利諾州芝加哥市舉行之「2019神經科學年會」會議。</t>
  </si>
  <si>
    <t>108/10/18-108/10/27</t>
  </si>
  <si>
    <t>酵母菌有絲分裂時染色體與核膜的連結與運行_106-2311-B-001-012-MY3</t>
  </si>
  <si>
    <t>參加在美國華盛頓特區舉行之｢美國細胞生物學會年度會議｣。</t>
  </si>
  <si>
    <t>C4-Rice Phase III_</t>
  </si>
  <si>
    <t>應邀前往參加新加坡舉行之「C4水稻計畫年度會議」。</t>
  </si>
  <si>
    <t>108/12/15-108/12/19</t>
  </si>
  <si>
    <t>從分子層次探討細胞骨架如何調控傷口癒合與細胞分裂_106-2311-B-001-038-MY3</t>
  </si>
  <si>
    <t>參加在美國華盛頓特區市舉行之「2019美國細胞生物學會年會」。</t>
  </si>
  <si>
    <t>108/12/07-108/12/14</t>
  </si>
  <si>
    <t>參加在美國華盛頓DC市舉行之「2019美國細胞生物學會(ASCB/EMBO)年會」。</t>
  </si>
  <si>
    <t>108/12/05-108/12/12</t>
  </si>
  <si>
    <t>科技部2019年臺美科技合作雙邊會議108-2911-I-001-514</t>
  </si>
  <si>
    <t>參加在美國華盛頓特區舉行之｢2019年臺美科技合作雙邊會議(MOST-NIH)｣，會後到西雅圖順道拜訪王倬院士。</t>
  </si>
  <si>
    <t>108/07/14-108/07/20</t>
  </si>
  <si>
    <t>華盛頓特區(Washington) 西雅圖(Seattle,Washington)</t>
  </si>
  <si>
    <t>WCRP/CMIP6跨國國際氣候推估模式比對計畫-氣候變遷研究聯盟II (3/3)-子計畫：全新世相較近代暖化對副熱帶大氣環流暨亞洲季風的_107-2119-M-001-013-</t>
  </si>
  <si>
    <t>科技部計畫(全新世相較近代暖化對副熱帶大氣環流暨亞洲季風的影響)將於 本年度的AOGS會議中發表關於1990年代中期初夏季節南亞高壓的變異；研究結果提供計畫其他研究子題動力基礎，並對台灣地區性研究例如降雨及空季品質的氣候變化頗具應用價值。</t>
  </si>
  <si>
    <t>赴加拿大蒙特婁市參加第27屆IUGG General Assembly發表研究成果</t>
  </si>
  <si>
    <t>從氣候模式看全新世氣候變遷 (Ⅱ)_107-2611-M-001-006-</t>
  </si>
  <si>
    <t>參加2019AOGS會議並發表研究成果</t>
  </si>
  <si>
    <t>台灣GEOTRACES II: 氣膠微量金屬在西菲律賓海的生地化循環及季節性轉換_105-2119-M-001-039-MY3</t>
  </si>
  <si>
    <t>2019/7/14-7/19出席於美國Holderness School (Plymouth, New Hampshire)舉行的國際學術會議2019 Gordon Research Conference_ Chemical Oceanography，並發表研究成果。</t>
  </si>
  <si>
    <t>108/07/11-108/08/20</t>
  </si>
  <si>
    <t>Plymouth, New Hampshire Falmouth, Barnstable County, Massachusetts</t>
  </si>
  <si>
    <t>參加「 國際大地測量學與地球物理學聯合會(IUGG) 」（7/8-13)並發表研究成果</t>
  </si>
  <si>
    <t>108/07/04-108/07/15</t>
  </si>
  <si>
    <t>台灣巨型城市環境研究III-都市空氣污染與低雲及霧霾之物理化學交互作用-子計?e：都市化對邊界層發展之?_107-2111-M-001-003-</t>
  </si>
  <si>
    <t>參加第27屆IUGG會議 ( International Union of Geodesy and Geophysics)並發表研究成果</t>
  </si>
  <si>
    <t>108/07/07-108/07/16</t>
  </si>
  <si>
    <t>參加 Asia Oceania Geosciences Society (AOGS) 16th Annual Meeting，並發表論文之口頭報告。</t>
  </si>
  <si>
    <t>108/07/28-108/08/05</t>
  </si>
  <si>
    <t>新輻射傳遞模組與地球系統模式之整合與評估_108-2111-M-001-016-</t>
  </si>
  <si>
    <t>AGU FALL MEETING是每年舉辦的國際研討會，該研討會不單是在美國，亦為國際上著名的研討會，會議主題包 含了大氣、海洋、地質、地理、太空、水文、氣候等等，近幾年參與人數與投稿文章皆超過2萬5千 人，而且出席 該研討會的人員包括歐美各國主要相關領域研究單位的專家學者、重要國家實驗室研究人員、學校 的教授學生等 等。</t>
  </si>
  <si>
    <t>108/12/08-108/12/16</t>
  </si>
  <si>
    <t>參加研討會並發表研究成果</t>
  </si>
  <si>
    <t>108/12/08-108/12/14</t>
  </si>
  <si>
    <t>台灣巨型城市環境研究III-都市空氣污染與低雲及霧霾之物理化學交互作用-子計?e：以數值模式探討都市空?_107-2111-M-001-006-</t>
  </si>
  <si>
    <t>參加2019年AGU會議並發表研究成果</t>
  </si>
  <si>
    <t>108/12/12-108/12/15</t>
  </si>
  <si>
    <t>氣候與生態系統的劇烈變化: 何處是臨界點？_108-2621-M-001-007-MY3</t>
  </si>
  <si>
    <t>參加2019 AGU Fall Meeting美國地球物理聯合會，發表計畫成果</t>
  </si>
  <si>
    <t>台灣巨型城市環境研究III-都市空氣污染與低雲及霧霾之物理化學交互作用-子計畫：不同型態社區微粒成份及指標物分析與小尺度模式驗證(第4年)_108-2111-M-001-014-</t>
  </si>
  <si>
    <t>"IGAC-MANGO"的主要目標是在亞洲季風地區形成一個由凝聚力強的大氣科學家組成的網絡，促進亞洲和國際科學家之間的合作，並培養該地區的下一代科學家，其探討議題包括大氣成分的變化及所產生的影響、生物質燃燒、生物和人為排放物、空氣質量與健康與相互影響亞洲季風和大氣化學等</t>
  </si>
  <si>
    <t>108/11/26-108/12/01</t>
  </si>
  <si>
    <t>奈尼塔爾(Nainital)</t>
  </si>
  <si>
    <t>全新世亞非季風演化: 季節性與大尺度動力_108-2628-M-001-006-MY4</t>
  </si>
  <si>
    <t>參加AGU (American Geophysical Union)2019年會，發表研究成果Regulation of the Meiyu–Baiu Migration by the Himalayas</t>
  </si>
  <si>
    <t>對流觸發物理對氣候模式雨量變化之影響_107-2111-M-001-010-MY3</t>
  </si>
  <si>
    <t>參加2019美國地球物理秋季年會發表研究成果</t>
  </si>
  <si>
    <t>108/12/06-108/12/15</t>
  </si>
  <si>
    <t>探討東亞地區氣膠/氣膠前驅物與雲特性的關係：利用遙測，再分析資料，與化學模式進行分析_107-2111-M-001-001-MY2</t>
  </si>
  <si>
    <t>參加2019 AGU Fall Meeting in San Francisco發表學術研究成果。</t>
  </si>
  <si>
    <t>WCRP/CMIP6跨國國際氣候推估模式比對計畫-氣候變遷 究聯盟II (3/3)-總計畫：氣候變遷實驗室II (3/3)_107-2119-M-001-010-</t>
  </si>
  <si>
    <t>參加13th International Conference on Paleoceanography並發表研究成果</t>
  </si>
  <si>
    <t>108/08/31-108/09/06</t>
  </si>
  <si>
    <t>本計畫"對流觸發物理對氣候模式雨量變化之影響 “的重要研究重點為改善在氣候模式中對對流觸發物理的描述，以期能夠改善氣候模式中對流過程的表現，增進對未來氣候變遷的預估能力，提供更可靠的未來氣候資訊。</t>
  </si>
  <si>
    <t>巢狀網格全球預報模式建置暨極端天氣與氣候資訊服務(1/2)委外案_1072249B</t>
  </si>
  <si>
    <t>赴瑞士蘇黎世參加Forum for Convective-permitting modeling for sub-seasonal to seasonal及Latsis Symposium 2019: High-Resolution Climate Modeling: Perspectives and Challenges</t>
  </si>
  <si>
    <t>108/08/18-108/08/25</t>
  </si>
  <si>
    <t>蘇黎世(Zurich)</t>
  </si>
  <si>
    <t>參加2019 PAGES CRIAS-Workshop，報告計畫研究成果。</t>
  </si>
  <si>
    <t>108/10/05-108/10/10</t>
  </si>
  <si>
    <t>萊比錫Leipzig</t>
  </si>
  <si>
    <t>赴韓國大邱參加「國際環境流行病學學會亞洲分會暨國際暴露科學學會聯合會議 (ISEE-ISES AC 2019)」</t>
  </si>
  <si>
    <t>108/10/15-108/10/20</t>
  </si>
  <si>
    <t>大邱(Taegu)</t>
  </si>
  <si>
    <t>EMS Annual Meeting 2019</t>
  </si>
  <si>
    <t>參加歐洲氣象學會2019年會發表Poster,108-2914-I-001-027-A1</t>
  </si>
  <si>
    <t>108/09/07-108/09/18</t>
  </si>
  <si>
    <t>Lyngby</t>
  </si>
  <si>
    <t>參加2019年第16屆的水域微生物學研討會</t>
  </si>
  <si>
    <t>波茲坦</t>
  </si>
  <si>
    <t>赴美國舊金山參加AGU Fall Meeting 2019並發表研究成果 108-2914-I-001-042-A1</t>
  </si>
  <si>
    <t>赴美國舊金山參加AGU Fall Meeting 2019並發表研究成果</t>
  </si>
  <si>
    <t>108/12/07-108/12/15</t>
  </si>
  <si>
    <t>Attending the 27th IUGG General Assembly</t>
  </si>
  <si>
    <t>參加27th IUGG General Assembly發表研究成果</t>
  </si>
  <si>
    <t>108/07/05-108/07/24</t>
  </si>
  <si>
    <t>參加27th IUGG General Assembly並發表研究成果</t>
  </si>
  <si>
    <t>Chemical Oceanography，並發表研究成果</t>
  </si>
  <si>
    <t>出席於美國Holderness School (Plymouth, New Hampshire)舉行的國際學術會議2019 Gordon Research Conference_ Chemical Oceanography，並發表研究成果</t>
  </si>
  <si>
    <t>Plymouth, New Hampshire</t>
  </si>
  <si>
    <t>利用全基因體分析,比較轉錄體及親緣基因體學探討台灣淡水蝦虎魚類對不同環境之適應演化_108-2621-B-001-002-</t>
  </si>
  <si>
    <t>參加 The G10K-VGP/EBP Meeting 本年度會議集結全世界各物種基因體研究的專家學者,是利用次世代定序完成基因 體等相關論文發表的重要集會。</t>
  </si>
  <si>
    <t>108/08/26-108/09/02</t>
  </si>
  <si>
    <t>利用生物多樣性開放資料探討全球山區鳥類的海拔遷徙模式_107-2621-B-001-001-MY2</t>
  </si>
  <si>
    <t>於7/1-7/5前往義大利米蘭參與第十屆國際地景生態學會全球大會研討會,並對於研究議題-使用公民科學資料探討鳥類於季節間的海拔移之模式趨動因子之成果進行發表.</t>
  </si>
  <si>
    <t>108/06/27-108/07/09</t>
  </si>
  <si>
    <t>米蘭(Milan)(09/01-03/31)</t>
  </si>
  <si>
    <t>108/06/29-108/07/08</t>
  </si>
  <si>
    <t>利用多音束聲納繪製綠島中光層珊瑚礁生態系棲地及非生物因子與珊瑚入添 與垂直連通性的交互作用 (2/3)_107-2611-M-001-004-</t>
  </si>
  <si>
    <t>前往馬來西亞大學出席『GCRMN東亞區域研討會-東亞地區珊瑚礁監測區域數據分析』會議</t>
  </si>
  <si>
    <t>萬捷 登嘉樓</t>
  </si>
  <si>
    <t>空心菜轉錄體變動及基因體複雜度之研究_108-2621-B-001-006-</t>
  </si>
  <si>
    <t>台灣生物基因體計畫</t>
  </si>
  <si>
    <t>108/09/28-108/10/06</t>
  </si>
  <si>
    <t>Sitges</t>
  </si>
  <si>
    <t>珊瑚共生藤壺(甲殼亞門: 蔓足下綱) 之營養生態學_106-2621-B-001-004-MY3</t>
  </si>
  <si>
    <t>受邀請前往日本東京參加第57屆日本甲殼類大會暨國際研討會-藤壺的生殖生物學(57th Annual Meeting of Carcinological Society of Japan &amp; Open International Symposium: Reproductive Biology of Barnacles),擔任keynote speaker.</t>
  </si>
  <si>
    <t>108/10/18-108/10/21</t>
  </si>
  <si>
    <t>108-2914-I-001-032-A1</t>
  </si>
  <si>
    <t>The 5th Conference on Plant Genome Evolution - one of the most prestigious meetings for experts in plant genomics and evolution.</t>
  </si>
  <si>
    <t>108/09/27-108/10/06</t>
  </si>
  <si>
    <t>全球生物多樣性資訊機構第26屆理事會暨節點委員會</t>
  </si>
  <si>
    <t>GBIF 係推動全球生物多樣性資訊整合之國際組織，我國為正式副會員 (Associate Participant)，每年均派員出席理事會 (Governing Board) 及國家網站節點管理者會議 (NODES)。</t>
  </si>
  <si>
    <t>108/10/15-108/10/28</t>
  </si>
  <si>
    <t>萊登(Leiden) 來登(Leiden)</t>
  </si>
  <si>
    <t>覺行弔詭：海德格—莊子—阿多諾_107-2410-H-001-099-MY2</t>
  </si>
  <si>
    <t>赴大陸上海及比利時根特(Ghent)參加學術會議,發表論文，並赴德國法蘭克福蒐集資料。</t>
  </si>
  <si>
    <t>108/08/29-108/09/10</t>
  </si>
  <si>
    <t>中國大陸(China) 德國(Germany) 比利時(Belgium)</t>
  </si>
  <si>
    <t>上海(Shanghai) 法蘭克福(Frankfurt) 根特（Ghent)</t>
  </si>
  <si>
    <t>書目研究視角下的中古文學_107-2410-H-001-093-MY3</t>
  </si>
  <si>
    <t>申請人奉准自108.8.1至109.7.31帶職帶薪赴美國哈佛大學訪問研究。茲因研究需要，自哈佛大學前往加州大學戴維斯（Davis）分校參加學術會議，發表論文。 (10/27搭機返程，10/28凌晨抵達）</t>
  </si>
  <si>
    <t>108/10/24-108/10/28</t>
  </si>
  <si>
    <t>戴維斯(Davis, California)</t>
  </si>
  <si>
    <t>以俄為師：魯迅、瞿秋白與曹禺的跨文化文學實驗_107-2410-H-001-098-</t>
  </si>
  <si>
    <t>赴日本東京參加國際學術會議,發表論文,並蒐集資料。</t>
  </si>
  <si>
    <t>108/06/27-108/07/03</t>
  </si>
  <si>
    <t>108-2914-I-001-029-A1</t>
  </si>
  <si>
    <t>赴美國紐奧良參加國際學術會議,發表論文。</t>
  </si>
  <si>
    <t>108/07/10-108/08/26</t>
  </si>
  <si>
    <t>紐奧良(New Orleans, Louisiana) 洛杉磯(Los Angeles,California)</t>
  </si>
  <si>
    <t>以多波段觀測研究恆星與行星形成(VI)_108-2923-M-001-006-MY3</t>
  </si>
  <si>
    <t>赴日本熊本大學出席會議並發表論文。</t>
  </si>
  <si>
    <t>108/09/10-108/09/16</t>
  </si>
  <si>
    <t>熊本(Kumamoto)</t>
  </si>
  <si>
    <t>赴日本東京國立天文台進行學術研討，後赴熊本大學出席會議、發表論文，並協同與會學者進行學術交流。</t>
  </si>
  <si>
    <t>108/08/29-108/09/17</t>
  </si>
  <si>
    <t>熊本(Kumamoto) 東京(Tokyo)</t>
  </si>
  <si>
    <t>近鄰紅矮星周圍行星的形成機制和大氣研究 (兩岸合作研究：太陽系天體與系外行星系統，系外行星、行星形成與演化)_105-2119-M-001-043-MY3</t>
  </si>
  <si>
    <t>赴日本東京國立天文台(NAOJ)出席會議、發表論文，並協同天文研究學者進行計畫相關學術研究。</t>
  </si>
  <si>
    <t>108/05/21-108/05/31</t>
  </si>
  <si>
    <t>赴澳洲雪梨新南威爾斯大學出席會議，並發表論文。</t>
  </si>
  <si>
    <t>赴荷蘭萊頓大學進行計畫相關學術研究，並赴希臘克里特島伊拉克利翁(Heraklion)出席會議，發表論文。</t>
  </si>
  <si>
    <t>108/05/13-108/05/28</t>
  </si>
  <si>
    <t>希臘(Greece) 荷蘭(Netherlands)</t>
  </si>
  <si>
    <t>伊拉克利翁(Heraklion) 萊頓(Leiden)</t>
  </si>
  <si>
    <t>從塵埃與氣體到行星形成與演化_107-2112-M-001-043-MY3</t>
  </si>
  <si>
    <t>赴澳洲昆士蘭棕櫚灣出席會議並發表論文，並於會後協同與會學者進行學術研討。</t>
  </si>
  <si>
    <t>108/07/20-108/07/28</t>
  </si>
  <si>
    <t>棕櫚灣(Palm Cove)</t>
  </si>
  <si>
    <t>赴希臘克里特島伊拉克利翁(Heraklion)、納夫普利翁(Nafplio)及西班牙巴塞隆納出席會議，發表論文。</t>
  </si>
  <si>
    <t>108/05/15-108/06/16</t>
  </si>
  <si>
    <t>希臘(Greece) 西班牙(Spain)</t>
  </si>
  <si>
    <t>伊拉克利翁(Heraklion) 巴塞隆納(Barcelona) 納夫普利翁(Nafplio)</t>
  </si>
  <si>
    <t>恆星形成絲狀結構內的磁場與拱星盤_108-2112-M-001-004-MY2</t>
  </si>
  <si>
    <t>赴希臘克里特島伊拉克利翁(Heraklion)、納夫普利翁(Nafplio)及西班牙巴塞隆納出席會議，發表論文，並赴法國佩薩克(Pessac)Laboratoire d'Astrophysique de Bordeaux進行計畫相關學術研究。</t>
  </si>
  <si>
    <t>希臘(Greece) 法國(France) 西班牙(Spain)</t>
  </si>
  <si>
    <t>伊拉克利翁(Heraklion) 佩薩克(Pessac) 巴塞隆納(Barcelona) 納夫普利翁(Nafplio)</t>
  </si>
  <si>
    <t>受邀赴芬蘭赫爾辛基、瑞典哥特堡(Gothenburg)及義大利塞斯托(Sesto)出席會議、發表論文，並赴瑞典昂薩拉太空天文台(Onsala Space Observatory)協同天文學者進行計畫相關學術研究。</t>
  </si>
  <si>
    <t>108/06/01-108/07/09</t>
  </si>
  <si>
    <t>芬蘭(Finland) 瑞典(Sweden) 義大利(Italy)</t>
  </si>
  <si>
    <t>赫爾辛基(Helsinki) 昂薩拉(Onsala) 哥特堡(Gothenburg) 塞斯托(Sesto)</t>
  </si>
  <si>
    <t>赴義大利塞斯托(Sesto)出席會議，擔任科學委員並發表論文。</t>
  </si>
  <si>
    <t>塞斯托(Sesto)</t>
  </si>
  <si>
    <t>赴日本千葉縣習志野市千葉工業大學出席會議並發表論文。</t>
  </si>
  <si>
    <t>108/08/11-108/08/18</t>
  </si>
  <si>
    <t>習志野(Narashino)</t>
  </si>
  <si>
    <t>星系團中的暗物質與重子的形狀與對齊排列_106-2628-M-001-003-MY3</t>
  </si>
  <si>
    <t>赴義大利塞斯托(Sesto)出席會議並發表論文。</t>
  </si>
  <si>
    <t>赴義大利塞斯托(Sesto)出席會議，並發表論文。</t>
  </si>
  <si>
    <t>赴日本京都大學基礎物理研究所出席會議並發表論文。</t>
  </si>
  <si>
    <t>108/07/01-108/07/06</t>
  </si>
  <si>
    <t>108/07/01-108/07/08</t>
  </si>
  <si>
    <t>受邀赴英國柴郡(Cheshire)出席會議(A Centenary of Astrophysical Jets: Observation, Theory, and Future Prospects)並演講。</t>
  </si>
  <si>
    <t>108/07/17-108/07/29</t>
  </si>
  <si>
    <t>柴郡(Cheshire)</t>
  </si>
  <si>
    <t>赴法國里昂出席會議並發表論文，後赴奧賽Institut d'Astrophysique Spatiale進行計畫相關學術研究。</t>
  </si>
  <si>
    <t>108/06/21-108/07/06</t>
  </si>
  <si>
    <t>里昂(Lyon) 奧賽(Orsay)</t>
  </si>
  <si>
    <t>赴美國劍橋橋哈佛-史密松天體物理中心(Harvard-Smithsonian Center for Astrophysics,CfA)出席研討會議並發表論文。</t>
  </si>
  <si>
    <t>108/08/10-108/08/20</t>
  </si>
  <si>
    <t>近鄰紅矮星周圍行星的形成機制和大氣研究 (兩岸合作研究：太陽系天體與系外行星系統，系外行星、行星形_105-2119-M-001-043-MY3</t>
  </si>
  <si>
    <t>赴冰島雷克雅未克出席會議(Extreme Solar System IV)並發表論文。</t>
  </si>
  <si>
    <t>108/08/17-108/08/25</t>
  </si>
  <si>
    <t>尋覓白矮星的伴星(1/3)_107-2119-M-001-018-</t>
  </si>
  <si>
    <t>赴希臘克里特島干尼亞(Chania)出席會議，並發表論文。</t>
  </si>
  <si>
    <t>108/05/29-108/06/13</t>
  </si>
  <si>
    <t>干尼亞(Chania)</t>
  </si>
  <si>
    <t>108/05/29-108/06/12</t>
  </si>
  <si>
    <t>108/05/26-108/06/12</t>
  </si>
  <si>
    <t>中國大陸(China) 希臘(Greece)</t>
  </si>
  <si>
    <t>上海(Shanghai) 干尼亞(Chania)</t>
  </si>
  <si>
    <t>赴法國格勒諾布爾(Grenoble)Institut de Radio　Astronomie　Millimétrique(IRAM)進行計畫相關學術研究，後赴里昂出席會議並發表論文。</t>
  </si>
  <si>
    <t>里昂(Lyon) 格勒諾布爾(Grenoble)</t>
  </si>
  <si>
    <t>赴美國西雅圖華盛頓大學進行學術討論，後赴加拿大維多利亞出席會議，並演講。</t>
  </si>
  <si>
    <t>108/05/04-108/05/17</t>
  </si>
  <si>
    <t>加拿大(Canada) 美國(U.S.A.)</t>
  </si>
  <si>
    <t>維多利亞(Victoria)(05/01-10/15) 西雅圖(Seattle,Washington)</t>
  </si>
  <si>
    <t>赴墨西哥瓦雅塔港(Puerto Vallarta)出席會議、發表論文，並協同與會學者進行學術研究。</t>
  </si>
  <si>
    <t>108/03/31-108/04/09</t>
  </si>
  <si>
    <t>墨西哥(Mexico)</t>
  </si>
  <si>
    <t>瓦雅塔港(Puerto Vallarta)</t>
  </si>
  <si>
    <t>赴德國加興(Garching)歐洲南方天文台出席會議，並發表論文。</t>
  </si>
  <si>
    <t>108/05/31-108/06/08</t>
  </si>
  <si>
    <t>受邀赴德國加興(Garching)歐洲南方天文台(ESO)出席會議，並演講。</t>
  </si>
  <si>
    <t>赴芬蘭赫爾辛基大學出席會議，擔任科學委員(SOC)並發表論文。</t>
  </si>
  <si>
    <t>108/06/01-108/06/11</t>
  </si>
  <si>
    <t>芬蘭(Finland)</t>
  </si>
  <si>
    <t>赫爾辛基(Helsinki)</t>
  </si>
  <si>
    <t>赴加拿大溫哥華出席會議並發表論文。</t>
  </si>
  <si>
    <t>108/06/10-108/06/21</t>
  </si>
  <si>
    <t>赴加拿大維多利亞大學及NRC Herzberg Institute of Astrophysics進行學術研究，並出席會議、發表論文，後赴美國紐約Flatiron Institute計算天文物理中心參與Theoretical and Computational Challenges in Planet Formation研討會議，進行學術交流。</t>
  </si>
  <si>
    <t>108/05/08-108/05/24</t>
  </si>
  <si>
    <t>維多利亞(Victoria)(05/01-10/15) 紐約市(New York,New York)</t>
  </si>
  <si>
    <t>受邀赴泰國宋卡出席會議並演講，並赴越南胡志明市越南國家大學(International University - Vietnam National University HCMC)及泰國清邁National Astronomical Research Institute of Thailand (NARIT)進行計畫相關研討，以利發展相關合作事宜。</t>
  </si>
  <si>
    <t>108/05/31-108/06/12</t>
  </si>
  <si>
    <t>泰國(Thailand) 越南(Vietnam)</t>
  </si>
  <si>
    <t>宋卡(Songkhla) 胡志明市(Ho Chi Minh City) 清邁(Chiang mai)</t>
  </si>
  <si>
    <t>受邀赴希臘克里特島伊拉克利翁(Heraklion)出席會議，並演講。</t>
  </si>
  <si>
    <t>伊拉克利翁(Heraklion)</t>
  </si>
  <si>
    <t>Further STUDIES: 史上最深的遠紅外線高紅移星系巡天--第二階段(1/3)_108-2112-M-001-014-</t>
  </si>
  <si>
    <t>赴新加坡出席會議並發表論文。</t>
  </si>
  <si>
    <t>108/12/25-108/12/30</t>
  </si>
  <si>
    <t>探測低質量恒星形成的最早期階段（四）_108-2112-M-001-017-</t>
  </si>
  <si>
    <t>赴義大利薩丁尼亞島卡利亞里(Cagliari)出席會議並發表論文。</t>
  </si>
  <si>
    <t>卡尼亞里(Cagliari)</t>
  </si>
  <si>
    <t>Atacama 大型毫米/次毫米陣列-臺灣計畫(1/3)_108-2112-M-001-048-</t>
  </si>
  <si>
    <t>赴荷蘭格羅寧根(Groningen)出席會議並發表論文，後赴德國加興歐洲南方天文台(ESO)進行計畫相關學術研究。</t>
  </si>
  <si>
    <t>108/10/05-108/10/17</t>
  </si>
  <si>
    <t>格羅寧根(Groningen) 加興(Garching)</t>
  </si>
  <si>
    <t>赴日本東京國立天文台(NAOJ)出席會議(PLANET FORMATION WORKSHOP 2019)並發表論文。</t>
  </si>
  <si>
    <t>運用阿塔卡瑪大型毫米及次毫米波陣列普查新生恆星及行星的質量_108-2112-M-001-003-MY2</t>
  </si>
  <si>
    <t>赴日本名古屋大學Laboratory for Theoretical Astronomy and Astrophysics進行計畫相關學術研討，後受邀赴東京國立天文台出席會議並演講。</t>
  </si>
  <si>
    <t>108/11/19-108/11/29</t>
  </si>
  <si>
    <t>東京(Tokyo) 名古屋(Nagoya)</t>
  </si>
  <si>
    <t>受邀赴日本東京國立天文台(NAOJ)出席會議(PLANET FORMATION WORKSHOP 2019)並演講。</t>
  </si>
  <si>
    <t>108/11/24-108/12/02</t>
  </si>
  <si>
    <t>社會資本、信任圈與組織連結：人際網絡如何影響個人福祉？_108-2410-H-001-091-MY2</t>
  </si>
  <si>
    <t>受邀至日本東北大學參與國際工作坊並發表文章</t>
  </si>
  <si>
    <t>108/10/06-108/10/10</t>
  </si>
  <si>
    <t>Sendai, Miyagi</t>
  </si>
  <si>
    <t>「民間領域」作為和解共生的基礎：理論與經驗的探索_107-2410-H-001-083-MY3</t>
  </si>
  <si>
    <t>出席國際研討會「Biennial New Zealand Asian Studies Society International Conference」並發表論文。</t>
  </si>
  <si>
    <t>108/11/21-108/11/29</t>
  </si>
  <si>
    <t>威靈頓(Wellington) 奧克蘭(Auckland)</t>
  </si>
  <si>
    <t>貿易立國？科學立國？：重探台灣、韓國的發展型國家的起緣_107-2410-H-001-080-MY2</t>
  </si>
  <si>
    <t>赴義大利米蘭參加2019 ANNUAL MEETING SOCIETY FOR THE HISTORY OF TECHNOLOGY。預計10月21日出發，並於11月1日啟程返國。所需經費共計132,654元整；以107年度科技部計畫之國外差旅費作為出差之經費使用。</t>
  </si>
  <si>
    <t>108/10/21-108/11/02</t>
  </si>
  <si>
    <t>尋找隱形冠軍：台灣企業創新、政商關係與經營績效的變遷，2002-2020_108-2410-H-001-090-MY3</t>
  </si>
  <si>
    <t>2019年9月9日至2019年9月14日赴英國倫敦參與國倫敦大學亞非學院(SOAS)工作坊論文報告。</t>
  </si>
  <si>
    <t>108/09/09-108/09/14</t>
  </si>
  <si>
    <t>2019/6/23-7/3赴西班牙馬德里出席國際會議並發表論文(6/25-29)，會後赴巴塞隆納蒐集資料(6/30-7/2)。所需費用由個人科技部計畫經費支應。</t>
  </si>
  <si>
    <t>馬德里(Madrid) 巴塞隆納(Barcelona)</t>
  </si>
  <si>
    <t>宗教如何治理？探索台灣民間信仰的宗教治理模式_107-2410-H-001-082-MY3</t>
  </si>
  <si>
    <t>「國際宗教社會學會雙年會 (ISSR 2019)」此會議為國際宗教社會學學會每兩年在歐洲地區不同地點舉辦的雙年會，此次2019年的雙年會在西班牙巴塞隆納舉行。本人預計前往發表論文一篇。</t>
  </si>
  <si>
    <t>108/07/04-108/07/16</t>
  </si>
  <si>
    <t>當代中國循環再發的社會抗爭：歷史遺產與在地後果_107-2410-H-001-052-MY2</t>
  </si>
  <si>
    <t>赴維也納開學術研討會 "New Forms of Evidence for the Study of Contention in China"．主辦單位是維也納大學東亞研究系。</t>
  </si>
  <si>
    <t>108/05/29-108/06/04</t>
  </si>
  <si>
    <t>當代中國的氣候變遷、社會衝突、與地方治理_MOST 105-2410-H-001-044-MY2</t>
  </si>
  <si>
    <t>赴美國聖地牙哥參加研討會 Third SDSU Conference on Nonviolence and Social Change: Illiberal Democracies East and West.</t>
  </si>
  <si>
    <t>108/05/09-108/05/13</t>
  </si>
  <si>
    <t>赴美國哈佛大學與研究計畫合作者王裕華（哈佛政府系助理教授）、雷雅雯（哈佛社會系助理教授）共同討論研究計畫、分析資料、寫作研究論文（8/4 - 8/11；8/13 - 8/18）；</t>
  </si>
  <si>
    <t>108/07/30-108/08/19</t>
  </si>
  <si>
    <t>紐約市(New York,New York) 劍橋(Cambridge,Massachusetts)</t>
  </si>
  <si>
    <t>前往日本北海道大學 參加國際東亞宗教學會年會 The 2nd Annual Conference of the EASSSR 2019</t>
  </si>
  <si>
    <t>108/07/25-108/08/01</t>
  </si>
  <si>
    <t>邁入老年初期的年輕成人父母之生命軌跡：文化規範與個人資源的影響_108-2410-H-001-092-</t>
  </si>
  <si>
    <t>職擬於2019年9月23日至9月30日赴德國參加SLLS(Society for Longtitudinal and Life Course Studies)年度研討會。此次會議由University of Potsdam主辦。會後參訪擬拜訪Wolfgang Lauterbach。</t>
  </si>
  <si>
    <t>108/09/23-108/09/30</t>
  </si>
  <si>
    <t>Potsdam</t>
  </si>
  <si>
    <t>赴美國紐約參加會議，並蒐集研究資料。預計6月25日出發，並於7月9日返抵台灣。所需經費共計 160,751 元；以個人科技部國外差旅費作為出差之經費使用。</t>
  </si>
  <si>
    <t>108/06/25-108/07/09</t>
  </si>
  <si>
    <t>職應邀於2019年10月17日至10月24日赴奧地利參加Taiwan-Austra Joint Seminar學術研討會。此次會議由Innsbruck Medical University主辦，會議主題為：Young Adults’ Job, Family and Well-being: Austria vs. Taiwan '。</t>
  </si>
  <si>
    <t>108/10/17-108/10/24</t>
  </si>
  <si>
    <t>茵斯布魯克(Innsbruck)</t>
  </si>
  <si>
    <t>2019/5/16-20受邀出席北美台灣研究學會，參與討論並擔任回應人，會後順道參訪一日(5/19)。所需費用除NATSA補助美金400元外，餘由個人科技部計畫經費支應。</t>
  </si>
  <si>
    <t>108/05/16-108/05/20</t>
  </si>
  <si>
    <t>科技部補助國內專家學者出席國際學術會議（王啟仲）</t>
  </si>
  <si>
    <t>赴英國Glasgow Caledonian University參與British Sociological Association Annual Conference 2019，會中發表論文</t>
  </si>
  <si>
    <t>108/04/17-108/04/29</t>
  </si>
  <si>
    <t>科技部補助出席國際會議</t>
  </si>
  <si>
    <t>補助赴美國紐約參加114th American Sociological Association Annual Meeting。</t>
  </si>
  <si>
    <t>108/08/08-108/08/15</t>
  </si>
  <si>
    <t>現代閩語、吳語及贛語中的古江東方言層次(Ⅱ)_MOST106-2410-H-001-044-MY2</t>
  </si>
  <si>
    <t>52屆國際漢藏語會議「漢語方言史的微觀研究」工作坊The 52nd International Conference on Sino-Tibetan Languages and Linguistics, Workshop on Microscopic Studies of Chinese Dialectal History</t>
  </si>
  <si>
    <t>108/06/22-108/06/30</t>
  </si>
  <si>
    <t>雙語與閱讀：高齡化研究_106-2410-H-001-024-MY2</t>
  </si>
  <si>
    <t>出席第七屆學習科學國際研討會。</t>
  </si>
  <si>
    <t>108/06/15-108/06/23</t>
  </si>
  <si>
    <t>于韋斯屈萊</t>
  </si>
  <si>
    <t>談漢語裡兩種焦點位移的結構_107-2410-H-001-063-MY2</t>
  </si>
  <si>
    <t>出席On Person and Perspective- A workshop honoring the work of Maria Luisa Zubizarreta研討會並張貼海報。</t>
  </si>
  <si>
    <t>108/05/02-108/05/07</t>
  </si>
  <si>
    <t>出席第七屆學習科學國際研討會並發表論文。</t>
  </si>
  <si>
    <t>108/06/05-108/06/24</t>
  </si>
  <si>
    <t>芬蘭(Finland) 中國大陸(China)</t>
  </si>
  <si>
    <t>于韋斯屈萊 香港(Hong Kong)</t>
  </si>
  <si>
    <t>白樂思《南島語言》譯注計畫_107-2410-H-001-105-MY2</t>
  </si>
  <si>
    <t>The 2019 International Conference on the Austronesian and Papuan Worlds(ICAPaW)</t>
  </si>
  <si>
    <t>108/09/05-108/09/09</t>
  </si>
  <si>
    <t>巴里島(Bali Island)</t>
  </si>
  <si>
    <t>詞頻，語境變異，與語意變異對詞彙表徵建立的影響_108-2410-H-001-044-MY2</t>
  </si>
  <si>
    <t>出席國際學術會議，並於會中發表論文</t>
  </si>
  <si>
    <t>108/09/02-108/09/10</t>
  </si>
  <si>
    <t>莫斯科(Moscow)</t>
  </si>
  <si>
    <t>鄒語命令句左緣結構_107-2410-H-001-056-</t>
  </si>
  <si>
    <t>The Annual Meeting of the Austronesian Formal Linguistics Association</t>
  </si>
  <si>
    <t>108/05/22-108/05/29</t>
  </si>
  <si>
    <t>The 29th meeting of Southeast Asian Society</t>
  </si>
  <si>
    <t>國際中國語言學學會年會The annual meeting of the International Association of Chinese Linguistics</t>
  </si>
  <si>
    <t>再探中文語句的時間解釋_107-2410-H-001-061-MY2</t>
  </si>
  <si>
    <t>日本中國語學會第69屆年會</t>
  </si>
  <si>
    <t>108/11/01-108/11/05</t>
  </si>
  <si>
    <t>泰雅語和布農語時制與動貌系統之議題研究_108-2410-H-001-005-</t>
  </si>
  <si>
    <t>參加GLOW in Asia XII in Seoul</t>
  </si>
  <si>
    <t>108/08/06-108/08/12</t>
  </si>
  <si>
    <t>從音韻學角度分析泰雅語書寫符號輔音串相關問題_107-2410-H-001-057-MY2</t>
  </si>
  <si>
    <t>2019第16屆舊世界音韻學會議</t>
  </si>
  <si>
    <t>108/01/14-108/01/23</t>
  </si>
  <si>
    <t>維洛那</t>
  </si>
  <si>
    <t>以結構為基礎對抗糖尿病的PDIA4抑制劑CDP15的優化_MOST 108-3111-Y-001-057</t>
  </si>
  <si>
    <t>本計畫核心目標在於發明/優化抗糖尿病藥物，因此需要與糖尿病相關研究人員進行討論，並藉由發表海報獲得回饋，作為藥物發展的參考</t>
  </si>
  <si>
    <t>Galectin-4-RTK-MYC功能模組在驅動攝護腺癌轉移的角色及其標靶草藥之研究_107-2320-B-001-006-MY3</t>
  </si>
  <si>
    <t>參加美國西雅圖參加國際學術研討會， Cell Symposia: Hallmarks of Cancer</t>
  </si>
  <si>
    <t>108/11/09-108/11/22</t>
  </si>
  <si>
    <t>智慧科技於蛋雞飼養與產蛋之應用-智慧科技於蛋雞飼養與產蛋之應用(2/3)_108-2321-B-001-016-</t>
  </si>
  <si>
    <t>受邀前往美國Grand Rapids, MI出席ICOSDA國際會議於會中發表演講, 以及受邀前往美國Knoxville, TN出席DAE國際會議並於會中發表演講</t>
  </si>
  <si>
    <t>108/10/08-108/11/14</t>
  </si>
  <si>
    <t>大急流程 Grand rapids 諾克斯維爾Knoxville</t>
  </si>
  <si>
    <t>智慧科技於蛋雞飼養與產蛋之應用-智慧科技於蛋雞飼養與產蛋之應用(1/3)_107-2321-B-001-038-</t>
  </si>
  <si>
    <t>參加越南農業市場概況專題演講(AGRI VIETNAM 2019)並發表論文，以及拜會參訪越南農業儀器、機械、肥料、農藥公司。</t>
  </si>
  <si>
    <t>108/06/25-108/06/29</t>
  </si>
  <si>
    <t>胡志明市(Ho Chi Minh City)</t>
  </si>
  <si>
    <t>研究植物倍半?內酯衍生物用於轉移性黑色素瘤之治療_106-2320-B-001-004-MY3</t>
  </si>
  <si>
    <t>本次AACR黑色素瘤特別會議：從生物學到目標將涵蓋黑素瘤生物學，遺傳學，耐藥性，免疫療法，腫瘤與免疫微環境，靶向途徑，抗性和新療法的最新發現。 這次會議的目的是匯集這個快速發展領域的專家，討論黑色素瘤生物學和治療方面的新概念，檢查其轉化重要性，並確定需要進一步研究的重點領域。</t>
  </si>
  <si>
    <t>108/01/11-108/01/20</t>
  </si>
  <si>
    <t>執行 "智慧科技於蛋雞飼養與產蛋之應用蛋鷄計畫" 內容，出席第18屆鷄蛋及蛋產品品質及第24屆家禽肉類品質歐洲研討會，發表蛋鷄計畫研發成果，與同領域先見交流。</t>
  </si>
  <si>
    <t>108/06/18-108/06/28</t>
  </si>
  <si>
    <t>土耳其(Turkey)</t>
  </si>
  <si>
    <t>切什梅(Cesme)</t>
  </si>
  <si>
    <t>植物重金屬抗性與鐵恆定調控(3/5)_107-2321-B-001-018-</t>
  </si>
  <si>
    <t>Plant Biology 2019 Annual Meeting，屬於大型研討會，包括許 多symposia、mini-symposia與poster presentations，其議題與研究相關。該研討會之學術地位及重要性在植物學界均佔龍頭地位。許多植物學者都會前往參與，是學術交流以及汲取新知的極佳機會。請准予公假並補助部分費用前 往與會並攜回相關資料。</t>
  </si>
  <si>
    <t>108/08/02-108/08/15</t>
  </si>
  <si>
    <t>利用系統性生物學方法調查和鑑定蝴蝶蘭擬原球體內抑制微生物病原菌的物質_106-2313-B-001-004-MY3</t>
  </si>
  <si>
    <t>參與2019日台植物學會海報發表，推廣蝴蝶蘭之研究成果。</t>
  </si>
  <si>
    <t>發表壁報論文</t>
  </si>
  <si>
    <t>蝴蝶蘭轉錄因子PaSTM誘發擬原球體發育機制的探討 擬原球體是業界常用繁殖蘭花組培苗的育苗模式。我們在先前探討擬原球體發生過程中，發現轉錄因子 SHOOT MERISTEMLESS (PaSTM)的表現與擬原球體生成密切相關。藉由比較RNA定序分析又進一步找到與PaSTM同步表現的基因。我將在會中討論一個新穎的調控機制並探討其調控擬原球體的生成。</t>
  </si>
  <si>
    <t>108/07/27-108/08/09</t>
  </si>
  <si>
    <t>葉綠素去植醇?CLD1與同源蛋白之生化及生理功能研究_106-2311-B-001-027-MY3</t>
  </si>
  <si>
    <t>出席國際植物科學研討會 Plant Biology 2019 並於會中以海報形式發表研究成果，收集相關研究最新資訊。</t>
  </si>
  <si>
    <t>發展非資料依賴質譜資訊處理系統於高通量暨全面蛋白以及胜?體之研究上(2/2)_107-2113-M-001-006-</t>
  </si>
  <si>
    <t>發展非資料依賴質譜資訊處理系統於高通量暨全面蛋白以及胜肽體之研究上(2/2)： 至科拉科夫參加第四十四屆歐洲生化聯盟(FEBS)會議(Federation of European Biochemical Societies, FEBS)，藉此機會與國際頂尖學者交流，並探索新知。</t>
  </si>
  <si>
    <t>108/07/05-108/07/18</t>
  </si>
  <si>
    <t>阿拉伯芥缺氧反應的訊息傳導機制_107-2311-B-001-039-</t>
  </si>
  <si>
    <t>SDASDF</t>
  </si>
  <si>
    <t>出國參加2019 IS-MPMI Congress，以壁報方式展示研究成果 (Plant A20/AN1 proteins play important roles in the SA-mediated antiviral immunity)，並進行學術交流</t>
  </si>
  <si>
    <t>前往蘇格蘭參加 2019 國際植物與微生物交互作用學會第18次研討會 (IS-MPMI XVIII)</t>
  </si>
  <si>
    <t>類受體細胞質激?對調節液泡磷酸鹽轉運蛋白功能的探討_107-2311-B-001-038-MY3</t>
  </si>
  <si>
    <t>至名古屋日本參加2019日台植物生物學國際研討會（JTPB 2019），應邀負責主持及安排 "Biomembrane, Ion and solute transporters" 的主題，同時亦有實驗室其他同仁應邀作口頭報告及發表壁報論文。因植物轉錄後基因調控研討會（PGRP 2019）緊接著在奈良舉辦，因此擬於JTPB 2019結束後即前往參加。</t>
  </si>
  <si>
    <t>缺鐵對花粉發育的細胞和分子效應 在缺鐵研究的初步的前導實驗中,我們發現顯示野生型絨氈細胞體積及其線粒體密度會隨著花粉發育逐漸增加，並表明線粒體裂變是絨氈層中適當的線粒體狀態所必需的，也可能是花粉中的線粒體裂變，這對於有活力的花粉的產生很重要。</t>
  </si>
  <si>
    <t>108/03/09-108/03/19</t>
  </si>
  <si>
    <t>探索長距離訊息傳遞對調控植物磷酸鹽恆定的角色_107-2311-B-001-005-MY3</t>
  </si>
  <si>
    <t>探索訊息傳遞對調控植物磷酸鹽恆定的角色</t>
  </si>
  <si>
    <t>建立藥用植物黃花蜜菜之組織培養系統以篩選活性化合物含量較高之再生植株_107-2313-B-001-006-</t>
  </si>
  <si>
    <t>在為期5天的會議期間，擬聆聽多個不同議題的演講，並以壁報形式展示我們的相關研究。當然，poster section也不能錯過！會議期間，擬積極與各國學者專家充份討論，並尋求進一步合作的可能性。</t>
  </si>
  <si>
    <t>108/06/07-108/06/23</t>
  </si>
  <si>
    <t>佛羅里達州坦帕市(Tampa, Florida)</t>
  </si>
  <si>
    <t>為執行智慧科技於蛋雞飼養與產蛋之應用計畫，參加4月6-8日International Conference of Internet Studies</t>
  </si>
  <si>
    <t>108/04/05-108/04/09</t>
  </si>
  <si>
    <t>研究Pdia4在腫瘤基質的功能與機制和腫瘤發展_107-2311-B-001-040-</t>
  </si>
  <si>
    <t>研究Pdia4在腫瘤基質的功能與機制和腫瘤發展, 主要是研究基因與腫瘤生長關係</t>
  </si>
  <si>
    <t>108/08/30-108/09/08</t>
  </si>
  <si>
    <t>8/3-8/7 前往美國參加植物學年會Plant Biology 2019</t>
  </si>
  <si>
    <t>496902 台灣蛋白體學會捐贈陳逸然老師Lab研究經費</t>
  </si>
  <si>
    <t>108/03/14-108/03/25</t>
  </si>
  <si>
    <t>2019日台植物生物學國際研討會</t>
  </si>
  <si>
    <t>496902 台灣蛋白體學會捐陳逸然老師Lab研究經費</t>
  </si>
  <si>
    <t>108/03/14-108/03/19</t>
  </si>
  <si>
    <t>參加第67屆美國質譜學家年度會議 (the 67th ASMS Conference on Mass Spectrometry and Allied Topics)</t>
  </si>
  <si>
    <t>Attend the 67th ASMS meeting.</t>
  </si>
  <si>
    <t>108/05/30-108/06/16</t>
  </si>
  <si>
    <t>科技部專案補助</t>
  </si>
  <si>
    <t>Oral presentation at the 14th International Plant Virus Epidemiology symposium</t>
  </si>
  <si>
    <t>108/05/12-108/05/20</t>
  </si>
  <si>
    <t>離岸結構物光纖傾斜監測與動態特性分析_107-2221-E-001-001-</t>
  </si>
  <si>
    <t>參與第80屆日本應用物理學會秋季學術講演會, 並在會議中發表報告。</t>
  </si>
  <si>
    <t>108/09/17-108/09/26</t>
  </si>
  <si>
    <t>參加第80屆日本應用物理學會秋季學術講演會，並發表研究成果。</t>
  </si>
  <si>
    <t>108/09/17-108/09/21</t>
  </si>
  <si>
    <t>二維材料異質結構光電特性之理論與實驗研究_107-2112-M-001-032-</t>
  </si>
  <si>
    <t>赴西班牙參加The 20th edition of Trends in Nanotechnology International Conference，並於10月18日應邀於Workshop on Many-body Physics做專題演講。</t>
  </si>
  <si>
    <t>108/09/27-108/10/22</t>
  </si>
  <si>
    <t>巴黎(Paris) 聖塞巴斯坦(San Sebastian)</t>
  </si>
  <si>
    <t>激子在電場和磁場下與二維過渡金屬二硫化物中的費米海激發態之相互作用_108-2112-M-001-041-</t>
  </si>
  <si>
    <t>研究以自組裝分子層提升細胞貼附以發展感測細胞陣列_107-2113-M-001-024-</t>
  </si>
  <si>
    <t>7/10-7/29至德國雷根斯堡大學及萊比錫研究所研究，以及至柏林開國際會議並發表口頭報告。</t>
  </si>
  <si>
    <t>108/07/10-108/07/29</t>
  </si>
  <si>
    <t>非鉛鈣鈦礦半導體單晶薄片的研製及光電特性和應用研究_107-2221-E-001-007-MY3</t>
  </si>
  <si>
    <t>等於是下個年度的出國</t>
  </si>
  <si>
    <t>108/08/09-108/08/16</t>
  </si>
  <si>
    <t>開發模組化整合式微流體系統 (MIMIC System) 模擬循環系統以應用於體外細胞研究_107-2628-E-001-003-MY3</t>
  </si>
  <si>
    <t>計畫名稱：Modularized Integrated Microfluidic (MIMIC) System to Mimic Circulatory Systems for in vitro Cell Studies，於本計畫中將開發一個模擬心臟功能之微流體幫浦，用以驅動在MIMIC系統內之流體，本次出國將發表與微流體元件設計相關之成果。</t>
  </si>
  <si>
    <t>108/07/21-108/08/09</t>
  </si>
  <si>
    <t>參加2019第十屆先進技術材料國際會議研討會(ICMAT)並給邀請演講</t>
  </si>
  <si>
    <t>商業應用型非標定奈米電漿子生物感測平台的發展_106-2112-M-001-006-MY3</t>
  </si>
  <si>
    <t>前往美國馬里蘭州巴爾的摩參加SPIE Defense + Commercial Sensing 2019 symposium (會議時間4月14日至4月18日)並發表研究成果。</t>
  </si>
  <si>
    <t>108/04/13-108/04/17</t>
  </si>
  <si>
    <t>於7月8日至12日赴阿根廷諾斯艾利斯參加StatPhys 27國際會議，並於7月15日至19日至義大利Siena參加the 2nd Advanced Course on Data Science &amp; Machine Learning國際會議。</t>
  </si>
  <si>
    <t>108/07/04-108/07/20</t>
  </si>
  <si>
    <t>阿根廷(Argentina) 義大利(Italy)</t>
  </si>
  <si>
    <t>布宜諾斯艾利斯(Buenos Aires) Siena</t>
  </si>
  <si>
    <t>於108年4月22日至4月26日參加美國材料學會(Materials Research Society)在美國亞利桑那州鳳凰城舉行之國際材料學會春季會議(MRS Spring Meeting 2019)。職將在此會議作研究成果報告。</t>
  </si>
  <si>
    <t>108/04/16-108/05/05</t>
  </si>
  <si>
    <t>鳳凰城(Phoenix,Arizona) Riverside</t>
  </si>
  <si>
    <t>108/05/24-108/06/01</t>
  </si>
  <si>
    <t>前往丹麥哥本哈根參加第九屆表面電漿光子學國際研討會並發表研究成果。</t>
  </si>
  <si>
    <t>應邀至韓國參加The 17th International Nanotech Symposium &amp; Exhibition (NANO KOREA 2019)會議，並擔任Inivted speaker。</t>
  </si>
  <si>
    <t>108/07/02-108/07/05</t>
  </si>
  <si>
    <t>高陽市</t>
  </si>
  <si>
    <t>前往美國新墨西哥州Albuquerque市參加LAMMPS user workshop並發表演講</t>
  </si>
  <si>
    <t>108/08/12-108/08/17</t>
  </si>
  <si>
    <t>Albuquerque</t>
  </si>
  <si>
    <t>參加在德國萊比錫之The 14th Federated Conference on Computer Science and Information Systems ，並發表論文</t>
  </si>
  <si>
    <t>108/08/30-108/09/07</t>
  </si>
  <si>
    <t>萊比錫</t>
  </si>
  <si>
    <t>參加2019春季材料年會,並發表論文</t>
  </si>
  <si>
    <t>鳳凰城(Phoenix,Arizona)</t>
  </si>
  <si>
    <t>應邀至德國參加Second International Workshop on "Tailor-Made Multiscale Materials Systems"，並擔任Invited speaker。</t>
  </si>
  <si>
    <t>漢堡(Hamburg)</t>
  </si>
  <si>
    <t>至美國波士頓出席國際會議MRS2019 fall meeting and exhibition</t>
  </si>
  <si>
    <t>108/11/29-108/12/10</t>
  </si>
  <si>
    <t>前往美國波士頓參加Materials Research Society (MRS) 2019 Fall Meeting並發表演講</t>
  </si>
  <si>
    <t>108/12/02-108/12/07</t>
  </si>
  <si>
    <t>本次出國參加的2019 ASCB|EMBO Meeting，是國際上有關細胞生物學研究最具規模的學術會議之一，其主題涵蓋細胞生物學的各領域與各種新的顯微技術及細胞研究技術。每年都有相當重要的成果在此會議發表。</t>
  </si>
  <si>
    <t>108/12/06-108/12/16</t>
  </si>
  <si>
    <t>赴澳洲墨爾本參加“The Australian and New Zealand Conferences on Optics and Photonics (ANZCOP 2019)”國際會議並發表研究成果</t>
  </si>
  <si>
    <t>有機奈米精準醫學平台:快速分離循環腫瘤細胞與個人化藥物篩選(3/3)_108-2119-M-001-003-</t>
  </si>
  <si>
    <t>出席國際奈米醫學會議</t>
  </si>
  <si>
    <t>應邀赴泰國曼谷參加World Congress on Pharmaceutical Sciences並發表Plenary talk</t>
  </si>
  <si>
    <t>108/12/01-108/12/04</t>
  </si>
  <si>
    <t>二維過渡金屬硫化物原子層及其異質結構之來研發先進微型雷射及共振腔QED效應之研究_108-2112-M-001-044-MY2</t>
  </si>
  <si>
    <t>赴日本東北大學參加5+2國際聯合研討會並發表演講</t>
  </si>
  <si>
    <t>108/11/03-108/11/05</t>
  </si>
  <si>
    <t>補助編號: 108-2914-I-001-018-A1</t>
  </si>
  <si>
    <t>赴新加坡參與10th International Conference on Materials for Advanced Technologies(ICMAT2019)研討會進行口頭發表。</t>
  </si>
  <si>
    <t>108/06/23-108/06/29</t>
  </si>
  <si>
    <t>科技部補助國內專家學者出席國際學術會議</t>
  </si>
  <si>
    <t>補助編號:108-2914-I-001-038-A1</t>
  </si>
  <si>
    <t>至芬蘭赫爾辛基參加國際會議 "Graphene Week 2019"，並於 2019/08/25 進行 oral 發表，發表主題為 "Elemental 2D Materials: Antimonene, Germanene and Stanene Grown on Molybdenum Disulfides by Using Thermal Evaporation"。</t>
  </si>
  <si>
    <t>108/09/21-108/09/29</t>
  </si>
  <si>
    <t>建立一個清楚的政黨標籤: 政黨採用具體選舉政見的成因與其影響_108-2410-H-001-003-MY3</t>
  </si>
  <si>
    <t>此次出國至APSA報告我的研究成果"Electoral Rules, Party Discipline, and Parliamentary Questions in Taiwan"，同時將作為小組討論會"New Theories and New Evidence: Studies of Turnout and Election in Taiwan"的評論人。</t>
  </si>
  <si>
    <t>國會肢體衝突之誘因的再探_106-2410-H-001-033-MY2</t>
  </si>
  <si>
    <t>發表與本計畫有關的論文</t>
  </si>
  <si>
    <t>108/04/02-108/04/16</t>
  </si>
  <si>
    <t>科技部補助國內專家學者出席國際學術會議 補助編號：108-2914-I-001-037-A1</t>
  </si>
  <si>
    <t>補助國內專家學者出席國際學術會議。補助中研院政治所李冠成博士後赴華盛頓特區參加美國政治學會年會，補助金額新台幣50000元。</t>
  </si>
  <si>
    <t>108/08/29-108/09/02</t>
  </si>
  <si>
    <t>科技部補助國內專家學者出席國際學術會議 補助編號:108-2914-I-001-033-A1</t>
  </si>
  <si>
    <t>參加美國政治學會 發表學術論文 並且擔任評論人</t>
  </si>
  <si>
    <t>108/08/27-108/09/04</t>
  </si>
  <si>
    <t>科技部【國內專家學者出席國際學術會議】 補助編號：108-2914-I-001-031-A1</t>
  </si>
  <si>
    <t>赴美參國華盛頓特區參加2019年美國政治學年會</t>
  </si>
  <si>
    <t>108/08/28-108/09/02</t>
  </si>
  <si>
    <t>專注於更好地了解感染性蛋白質疾病和其他神經退行性疾病的病理機制，及涵蓋從基礎研究（包括結構生物學和細胞生物學到臨床研究）的廣泛主題。</t>
  </si>
  <si>
    <t>108/10/01-108/10/04</t>
  </si>
  <si>
    <t>功能與分子層面剖析蛋白O 連結N-乙醯胺基葡萄糖化於B細胞發育與分化之重要性_106-2320-B-001-011-MY3</t>
  </si>
  <si>
    <t>參加XVIII International Workshop on Chronic Lymphocytic Leukemia國際會議</t>
  </si>
  <si>
    <t>108/09/20-108/09/28</t>
  </si>
  <si>
    <t>參加AAI 2019國際會議發表成果</t>
  </si>
  <si>
    <t>108/05/07-108/05/19</t>
  </si>
  <si>
    <t>受邀赴美國聖地牙哥參加Immunology 2019國際會議。</t>
  </si>
  <si>
    <t>多樣導向合成細胞表面葡胺聚醣以定義醣與不同蛋白之結構和活性的關係(3/5)_MOST107-2745-M-001-001-ASP</t>
  </si>
  <si>
    <t>參加" International Symposium on Glycoconjugates( Glyco25)"張貼學術論文壁報&amp;演講</t>
  </si>
  <si>
    <t>108/08/19-108/09/01</t>
  </si>
  <si>
    <t>建立血液循環腫瘤細胞收集及細胞培養平台以進行同步個人化精準醫學診斷與治療(2/2)_MOST107-2218-E-001-003</t>
  </si>
  <si>
    <t>108/06/24-108/08/19</t>
  </si>
  <si>
    <t>新加坡(Singapore) 美國(U.S.A.)</t>
  </si>
  <si>
    <t>新加坡(Singapore) Stanford</t>
  </si>
  <si>
    <t>奉派出席108/06/30-07/04於荷蘭萊登舉行之「XXth European Carbohydrate Symposium (EUROCARB 2019)」會議並張貼海報。</t>
  </si>
  <si>
    <t>108/06/29-108/07/05</t>
  </si>
  <si>
    <t>利用小分子藥物提升間質幹細胞的功能性_MOST107-2320-B-001-023</t>
  </si>
  <si>
    <t>參加6/26-29舉行的國際幹細胞(ISSCR)研討會</t>
  </si>
  <si>
    <t>108/06/20-108/07/01</t>
  </si>
  <si>
    <t>開發小型化高解析自動分析質譜技術及其於生醫檢測上之應用(1/3)_MOST107-2113-M-001-022</t>
  </si>
  <si>
    <t>對於由本實驗室開發的線性TOF儀器，為了在最佳條件下操作檢測器，偵測器和傳輸系統必須擁有50歐姆的特徵阻抗，以傳遞真實訊號脈衝。值得注意的是，由於有限的飛行時間差，具有改善解析度的TOF MS將成為快速瞬時(高頻)訊號，因此克服由不正確配置引起之訊號失真將成為質譜中訊號解析度的關鍵因素。而本實驗提出一種簡單有效的電路方法來減少訊號反射和失真以提升訊號解析度。</t>
  </si>
  <si>
    <t>協助執行兩項計畫進行，將實驗成果在國際會議上發表</t>
  </si>
  <si>
    <t>108/07/17-108/07/25</t>
  </si>
  <si>
    <t>Feasibility study of Lectins for Probing Circulating Tumor Cells</t>
  </si>
  <si>
    <t>108/07/03-108/07/06</t>
  </si>
  <si>
    <t>腺?酸激?於人類肺癌分子致病機轉之探討_105-2320-B-001-027-MY3</t>
  </si>
  <si>
    <t>探討腺肝酸激酶於各種癌症上與免疫反應的，以及學習免液細胞療法於國外的發展情況，看是否有利於實驗室研究之相關性與後續之研究方向檢討。</t>
  </si>
  <si>
    <t>了解癌症與有聯藥物於各種癌症於臨床與前臨床端的研究情況，以利後續的研究。</t>
  </si>
  <si>
    <t>探究與Syk耦合的Ｃ型凝集素與類鐸受體在登革病毒引發的出血性休克及血小板低下之角色_106-2320-B-001-023-MY3</t>
  </si>
  <si>
    <t>將在2019 SFG ANNUAL MEETING發表Interaction of viral glycans with heterocomplex of C-type lectins are critical in the pathogenesis of viral infections研究成果</t>
  </si>
  <si>
    <t>108/11/01-108/11/10</t>
  </si>
  <si>
    <t>1. 受邀參加"the 11th International Conference on Proteoglycans"暨演講_Kanazawa, Japan 2. 受邀參訪Tottori University, Japan 暨演講, 與Prof. Jun-ichi Tamura 討論合作研究計畫_Tottori, Japan</t>
  </si>
  <si>
    <t>Kanazawa Tottori</t>
  </si>
  <si>
    <t>2019 Experimental Biology Annual Meeting</t>
  </si>
  <si>
    <t>Experimental Biology 2019 Meeting</t>
  </si>
  <si>
    <t>天道、人道、政道：唐君毅與英國觀念論者的哲學對話_107-2410-H-001-092-MY3</t>
  </si>
  <si>
    <t>參加全美中國研究協會(AACS)舉辦之「第61次年會暨國際研討會」 (61st Annual Conference Program) 並發表論文。</t>
  </si>
  <si>
    <t>108/10/03-108/10/09</t>
  </si>
  <si>
    <t>國際生活品質研究學會主席參與計畫(1/2)_108-2911-I-001-516</t>
  </si>
  <si>
    <t>本人擔任國際生活品質研究學會(The International Society for Quality-of-Life Studies (ISQOLS)主席，參加該會所舉行的「17th ISQOLS Annual Conference」年會並發表論文。</t>
  </si>
  <si>
    <t>108/08/31-108/09/09</t>
  </si>
  <si>
    <t>格拉納達(Granada)</t>
  </si>
  <si>
    <t>調查訪問中第一次回答的可過錄性與態度真確度的主觀特性，跟題項情境效應與態度真確度的關係_107-2410-H-001-053-SSS</t>
  </si>
  <si>
    <t>參加「世界公共意見研究學會第七十二屆年度會議」(2019 WAPOR 72nd Annual Conference)並發表論文。</t>
  </si>
  <si>
    <t>108/05/18-108/05/23</t>
  </si>
  <si>
    <t>多倫多(Toronto)</t>
  </si>
  <si>
    <t>在多分類隨機作答模型下兩敏感特徵和自我保護回答的估計_107-2118-M-001-002-</t>
  </si>
  <si>
    <t>108/07/13-108/07/23</t>
  </si>
  <si>
    <t>克羅埃西亞(Croatia)</t>
  </si>
  <si>
    <t>札格雷布(Zagreb)</t>
  </si>
  <si>
    <t>開放資料時空語意整合與搜尋機制_107-2119-M-001-009-MY3</t>
  </si>
  <si>
    <t>參加「AGILE 2019, 22nd Conference on Geo-information Science」會議並以壁報方式發表論文。</t>
  </si>
  <si>
    <t>108/06/15-108/06/21</t>
  </si>
  <si>
    <t>塞浦路斯(Cyprus)</t>
  </si>
  <si>
    <t>Limassol</t>
  </si>
  <si>
    <t>物質主義、後物質主義與新政治：世界價值觀第七波的台灣調查與亞洲國家的比較_107-2410-H-001-089-SS3</t>
  </si>
  <si>
    <t>同居題項設計與受訪者應答行為_107-2410-H-001-043-</t>
  </si>
  <si>
    <t>108/07/08-108/08/14</t>
  </si>
  <si>
    <t>泰國南部泰華社群的穆斯林聖像To信仰與實踐_108-2410-H-001-103-MY2</t>
  </si>
  <si>
    <t>參加「史料與田野調查:拿督公研究研討會」並發表論文。</t>
  </si>
  <si>
    <t>108/11/01-108/11/06</t>
  </si>
  <si>
    <t>霹靂州金寶</t>
  </si>
  <si>
    <t>臺灣-奧地利(MOST-FWF)雙邊研討會_108-2911-I-001-518</t>
  </si>
  <si>
    <t>參加「Young adults' job,family and well-being : Austria vs Taiwan」會議並發表論文。</t>
  </si>
  <si>
    <t>108/10/19-108/10/24</t>
  </si>
  <si>
    <t>德國憲法學實質化路線之反思與批判_105-2410-H-001-070-MY3</t>
  </si>
  <si>
    <t>琉森</t>
  </si>
  <si>
    <t>著作權法作者的界限？ 從法人、動物到人工智慧_107-2410-H-001-059-</t>
  </si>
  <si>
    <t>雪城 (Syracuse) 波士頓(Boston,Massachuseetts)</t>
  </si>
  <si>
    <t>由司法政治看比例原則與大法官解釋之執行_107-2410-H-001-040-MY2</t>
  </si>
  <si>
    <t>利用人工智慧進行創作侵害著作權之責任問題研究 - 兼論人工智慧時代合理使用抗辯之挑戰_108-2410-H-001-062-</t>
  </si>
  <si>
    <t>108/11/18-108/11/27</t>
  </si>
  <si>
    <t>108/06/28-108/07/09</t>
  </si>
  <si>
    <t>科技部補助專家學者出席國際學術會議(補助編號：108-2914-I-001-011-A1)</t>
  </si>
  <si>
    <t>108/05/11-108/06/09</t>
  </si>
  <si>
    <t>蒂爾堡 Tilburg</t>
  </si>
  <si>
    <t>補助國內專家學者出席國際學術會議（補助編號：108-2914-I-001-012-A1）</t>
  </si>
  <si>
    <t>108/05/06-108/06/07</t>
  </si>
  <si>
    <t>美國(U.S.A.) 瑞士(Switzerland)</t>
  </si>
  <si>
    <t>華盛頓特區(Washington) 紐約市(New York,New York) 日內瓦(Geneva)</t>
  </si>
  <si>
    <t>低標註資源應用之深度學習技術開發(1/4)_MOST108-2634-F-007-009</t>
  </si>
  <si>
    <t>參加會議：IEEE Computer Society Conference on Computer Vision and Pattern Recognition</t>
  </si>
  <si>
    <t>108/06/14-108/06/25</t>
  </si>
  <si>
    <t>長灘</t>
  </si>
  <si>
    <t>以深度學習技術建立隱私資料去識別化模型之研究_108-000002</t>
  </si>
  <si>
    <t>參加會議：WWW 2019&amp;IW3C2 committee Meeting</t>
  </si>
  <si>
    <t>108/05/14-108/05/20</t>
  </si>
  <si>
    <t>參加會議：ACM/IEEE International Symposium on Computer Architecture (ISCA)，發表論文：Sparse ReRAM Engine: Joint Exploration of Activation and Weight Sparsity in Compressed Neural Networks</t>
  </si>
  <si>
    <t>108/06/21-108/06/28</t>
  </si>
  <si>
    <t>參加IEEE/ACM DAC 2019及IEEE CVPR 2019會議，並發表論文</t>
  </si>
  <si>
    <t>108/06/02-108/06/22</t>
  </si>
  <si>
    <t>拉斯維加斯 舊金山(San Francisco,California) 長灘</t>
  </si>
  <si>
    <t>參加會議：14th ACM ASIA Conference on Computer and Communications Security (ACM ASIACCS 2019)，擔任會議Session Chairman</t>
  </si>
  <si>
    <t>108/07/06-108/07/12</t>
  </si>
  <si>
    <t>跨領域的行為預測模型委託研究計畫_32T-1080218-1Q</t>
  </si>
  <si>
    <t>參加會議：42nd International ACM SIGIR Conference on Research and Development in Information Retrieval,並發表論文</t>
  </si>
  <si>
    <t>108/07/19-108/07/28</t>
  </si>
  <si>
    <t>產學合作計畫-基於即時感測資訊之大數據分析於旋轉機械預測性維護關鍵技術開發_107-000006</t>
  </si>
  <si>
    <t>參加會議：International Conference on System Science and Engineering</t>
  </si>
  <si>
    <t>108/07/18-108/07/22</t>
  </si>
  <si>
    <t>洞海市</t>
  </si>
  <si>
    <t>參加會議： 1.第二次後量子密碼標準化會議，會議時間：108年8月22日至108年8月24日。 2.密碼學硬體與嵌入式系統研討會，會議時間：108年8月25日至108年8月28日。</t>
  </si>
  <si>
    <t>108/08/21-108/09/02</t>
  </si>
  <si>
    <t>聖塔芭芭拉 芝加哥(Chicago,Illinois) 亞特蘭大(Atlanta,Georgia)</t>
  </si>
  <si>
    <t>參加會議：International Conference on Advanced Mechatronic Systems，發表論文：Analysis of Metal Surface Roughness Considering Illuminance and Focal Length Factors via FIS-based Embedded Vision System</t>
  </si>
  <si>
    <t>108/08/25-108/08/29</t>
  </si>
  <si>
    <t>滋賀(Shiga)</t>
  </si>
  <si>
    <t>參加會議：SIGKKD Workshop: 15th International Workshop on Mining and Learning with Graphs (MLG’19)，發表論文：Deep Reinforcement Learning-based Approach to Tackle Competitive Influence Maximization</t>
  </si>
  <si>
    <t>108/08/01-108/08/13</t>
  </si>
  <si>
    <t>阿拉斯加州(State of Alaska)</t>
  </si>
  <si>
    <t>參加會議：2019 INTERNATIONAL WORKSHOP ON MARINE SOUNDSCAPE，發表論文：Improving biodiversity monitoring through soundscape information retrieval</t>
  </si>
  <si>
    <t>擔任第三十八屆理論與應用密碼學國際研討年會、監控及隱私國際研討會會議之Session Chair</t>
  </si>
  <si>
    <t>108/05/18-108/05/24</t>
  </si>
  <si>
    <t>達姆斯塔特</t>
  </si>
  <si>
    <t>財務非結構化數據之分析、理解及其應用_107-2628-E-001-006-MY3</t>
  </si>
  <si>
    <t>參加會議：2019 IEEE International Conference on Acoustics, Speech and Signal Processing，發表論文：BEYOND WORD-LEVEL TO SENTENCE-LEVEL SENTIMENT ANALYSIS FOR FINANCIAL REPORTS</t>
  </si>
  <si>
    <t>108/05/10-108/05/19</t>
  </si>
  <si>
    <t>參加International Conference on Acoustics, Speech and Signal Processing.並發表論文</t>
  </si>
  <si>
    <t>108/05/08-108/05/18</t>
  </si>
  <si>
    <t>一個基於影音資訊之智慧金融服務平台(2/3)_MOST107-2218-E-011-014</t>
  </si>
  <si>
    <t>參加會議：32nd Politzer Society Meeting, 2nd World Congress of Otology，並發表論文</t>
  </si>
  <si>
    <t>108/05/26-108/05/31</t>
  </si>
  <si>
    <t>會議名稱：2019計算機通訊國際研討會 發表論文：基植於防禦APT攻擊之惡意Open XML文件偵測框架</t>
  </si>
  <si>
    <t>參加會議：20th annual conference of the International Society for Music Information Retrieval，發表論文：Jamming with Yating: interactive demonstration of a music composition AI</t>
  </si>
  <si>
    <t>108/10/30-108/11/07</t>
  </si>
  <si>
    <t>台夫特</t>
  </si>
  <si>
    <t>資安特色中心暨聯盟-資安特色中心暨聯盟(3/3)_108-2218-E-001-001</t>
  </si>
  <si>
    <t>參加會議：ACM CCS (Computer and Communications Security)電腦與通訊安全會議，發表論文：Signed Cryptographic Program Verification with Typed CryptoLine</t>
  </si>
  <si>
    <t>108/11/10-108/11/16</t>
  </si>
  <si>
    <t>參加會議：2019 IEEE International Conference on Big Data，並發表論文</t>
  </si>
  <si>
    <t>108/12/09-108/12/14</t>
  </si>
  <si>
    <t>訪問，邀請單位：Gartner IT Symposium</t>
  </si>
  <si>
    <t>108/10/26-108/11/01</t>
  </si>
  <si>
    <t>黃金海岸</t>
  </si>
  <si>
    <t>整合異質性資料之智能推薦架構(3/3)_MOST108-2218-E-002-054</t>
  </si>
  <si>
    <t>參加會議：Text REtrieval Conference (TREC) 2019，並發表論文</t>
  </si>
  <si>
    <t>108/11/11-108/12/13</t>
  </si>
  <si>
    <t>美國(U.S.A.) 加拿大(Canada)</t>
  </si>
  <si>
    <t>蓋瑟斯堡 滑鐵盧</t>
  </si>
  <si>
    <t>參加會議：20th annual conference of the International Society for Music Information Retrieval，發表論文：Jamming with Yating: Interactive demonstration for a music composition AI</t>
  </si>
  <si>
    <t>108/10/30-108/11/10</t>
  </si>
  <si>
    <t>108/11/11-108/12/03</t>
  </si>
  <si>
    <t>隱私資料保護之合成資料技術研究_107-2221-E-001-016-MY2</t>
  </si>
  <si>
    <t>參加會議：24th IEEE Pacific Rim International Symposium on Dependable Computing，並發表論文</t>
  </si>
  <si>
    <t>108/12/01-108/12/05</t>
  </si>
  <si>
    <t>參加會議：ACM/IEEE International Conference on Hardware/Software Codesign and System Synthesis (CODES/ISSS 2019)並發表論文</t>
  </si>
  <si>
    <t>人工智慧技術研發與其在金融上之應用委託研究計畫_32T-1080318-1Q</t>
  </si>
  <si>
    <t>參加會議：The 13th ACM Recommender Systems Conference (ACM RecSys’19)，發表論文：Negative-Aware Collaborative Filtering Tutorial：SMORe: Modularize Graph Embedding for Recommendation</t>
  </si>
  <si>
    <t>108/09/07-108/09/22</t>
  </si>
  <si>
    <t>參加會議：International Workshop on Multimedia Signal Processing,並發表論文</t>
  </si>
  <si>
    <t>參加會議：The 2019 Autumn meeting of the Acoustical Society of Japan，並發表論文</t>
  </si>
  <si>
    <t>108年度先進密碼研究計畫_108-000001</t>
  </si>
  <si>
    <t>參加會議：(1)Crypto 2019，會議日期：自108年8月17日至108年8月22日 (2)Second PQC Standardization Conference，會議日期：自108年8月22日至108年8月24日</t>
  </si>
  <si>
    <t>108/07/31-108/08/30</t>
  </si>
  <si>
    <t>聖塔芭芭拉 拉斯維加斯 亞特蘭大(Atlanta,Georgia)</t>
  </si>
  <si>
    <t>1.第23屆美國黑帽會議(Black Hat 2019) 2.第27屆防禦會議(DEFCON 27) 3.第39屆國際密碼學會議(Crypto 2019) 4.第2屆後量子密碼學標準會議(Second PQC Standardization Conference) 5.第21屆密碼硬體與嵌入式系統會議(CHES 2019)</t>
  </si>
  <si>
    <t>108/08/05-108/08/30</t>
  </si>
  <si>
    <t>拉斯維加斯 聖塔芭芭拉 亞特蘭大(Atlanta,Georgia)</t>
  </si>
  <si>
    <t>參加會議：IEEE/ACM CODES+ISSS 2019，並發表論文</t>
  </si>
  <si>
    <t>108/10/13-108/10/18</t>
  </si>
  <si>
    <t>參加會議：14th Asia Joint Conference on Information Security(AsiaJCIS 2019)，並發表論文</t>
  </si>
  <si>
    <t>108/06/03-108/09/02</t>
  </si>
  <si>
    <t>參加會議：Recsys 2019，發表論文：Negative-Aware Collaborative Filtering</t>
  </si>
  <si>
    <t>108/09/12-108/10/06</t>
  </si>
  <si>
    <t>108-2914-I-001-040-A1</t>
  </si>
  <si>
    <t>參加會議：The 5th Conference of Asia Color Association Conference</t>
  </si>
  <si>
    <t>108/11/25-108/12/03</t>
  </si>
  <si>
    <t>108-2914-I-001-036-A1</t>
  </si>
  <si>
    <t>中央研究院智慧財產權管理及促進推廣運用前瞻計畫_MOST 107-3111-Y-001-050</t>
  </si>
  <si>
    <t>108年度中央研究院強化智慧財產權管理及技術授權推廣能力計畫 赴美國、德國及日本參與國際展會。評估本院新技術潛在之商業價值，積極尋求承接或開發技術之對象。</t>
  </si>
  <si>
    <t>108/10/07-108/10/15</t>
  </si>
  <si>
    <t>108/10/07-108/10/17</t>
  </si>
  <si>
    <t>108/10/07-108/10/12</t>
  </si>
  <si>
    <t>橫濱(Yokohama) 東京(Tokyo)</t>
  </si>
  <si>
    <t>參與2019年北美生物科技產業展(BIO 2019)，推廣本院技術: 本次台灣代表團將於108年6月1日~108年6月9日赴美國費城，參與BIO 2019，並於本次臺灣代表團所建置之臺灣館法人技術展示區設攤，以推廣我國法人單位之技術。</t>
  </si>
  <si>
    <t>The quadrilateral symposium on coordination chemistry was established to serve as a platform for scholars in coordination chemistry to exchange their latest scientific findings.</t>
  </si>
  <si>
    <t>108/09/18-108/09/23</t>
  </si>
  <si>
    <t>參加2019 International Workshop on Next-Generation NWP Models : Verification &amp; Predictability.</t>
  </si>
  <si>
    <t>To attend the AOGS2019 Annual Meeting held in Singapore.</t>
  </si>
  <si>
    <t>108/07/27-108/08/04</t>
  </si>
  <si>
    <t>參加 “2nd International Conference On Environmental Sustainability and Climate Change”</t>
  </si>
  <si>
    <t>108/11/26-108/12/07</t>
  </si>
  <si>
    <t>至加拿大蒙特婁參加 27th IUGG General Assembly</t>
  </si>
  <si>
    <t>108/06/25-108/07/27</t>
  </si>
  <si>
    <t>加拿大(Canada) 美國(U.S.A.) 法國(France)</t>
  </si>
  <si>
    <t>蒙特婁(Montreal) Madison 巴黎(Paris)</t>
  </si>
  <si>
    <t>應邀至希臘 Thessaloniki 參加 EUMETSAT 主辦之2019 Autumn School on Satellite Techniques for Severe Weather Nowcasting 會議，並發表演講。</t>
  </si>
  <si>
    <t>108/08/31-108/09/05</t>
  </si>
  <si>
    <t>塞薩羅尼基(Thessaloniki)</t>
  </si>
  <si>
    <t>至美國威斯康辛大學麥迪遜校區之大氣與海洋學系研究訪問及出席2019 Joint Satellite Conference並發表演講。</t>
  </si>
  <si>
    <t>108/09/20-108/10/07</t>
  </si>
  <si>
    <t>波士頓(Boston,Massachuseetts) Madison</t>
  </si>
  <si>
    <t>至美國舊金山出席 AGU(Annual Meeting of American Geophysical Union)Fall Meeting 2019並發表論文</t>
  </si>
  <si>
    <t>108/12/08-108/12/27</t>
  </si>
  <si>
    <t>2019年8月8日至2019年8月15日赴美國紐約參與國際華人社會學會年會(ICSA)論文報告(8/9)與美國社會學年會(ASA)論文報告(8/11-14)。預計於ICSA上發表一篇論文，於ASA上發表兩篇論文，合計三篇論文。</t>
  </si>
  <si>
    <t>「深度低碳社會：社會行為與制度轉型的行動研究計畫」子題二、四主持人周桂田教授擬於10月25日至10月30日赴韓國首爾參加7TH INTERNATIONAL SYMPOSIUM ON ENVIRONMENTAL SOCIOLOGY IN EAST ASIA (ISESEA)會議。</t>
  </si>
  <si>
    <t>108/10/25-108/10/30</t>
  </si>
  <si>
    <t>赴泰國曼谷參加會議「ISTR Asia Pacific 2019 Conference」， 並發表文章「Reflecting on my research journey of social movements and civil society in Taiwan and beyond」</t>
  </si>
  <si>
    <t>108/07/14-108/07/17</t>
  </si>
  <si>
    <t>參加2019日台植物生物學國際研討會</t>
  </si>
  <si>
    <t>由新興農業(43000)以及中心(70000)國外差旅費支付。 海報展示內容為執行新興農業計畫的淹水實驗成果，另外學習系統生物學相關研究。</t>
  </si>
  <si>
    <t>108/12/02-108/12/09</t>
  </si>
  <si>
    <t>針對香蕉分子標誌的發展在2019日台植物生物學國際研討會進行報告。</t>
  </si>
  <si>
    <t>前往日本參加2019日台植物生物學國際研討會，並發表論文Determining cauliflower (Brassica oleracea var. botrytis) heat-tolerant mechanisms by genome and transcriptome analysis</t>
  </si>
  <si>
    <t>前往法國巴黎參加會議</t>
  </si>
  <si>
    <t>108/06/25-108/07/03</t>
  </si>
  <si>
    <t>前往新加坡參加”the 10th International Conference on Materials for Advanced Technologies (ICMAT2019) ”會議</t>
  </si>
  <si>
    <t>前往義大利伊斯基亞參加The Superstripes 2019 meeting</t>
  </si>
  <si>
    <t>伊斯基亞</t>
  </si>
  <si>
    <t>前往韓國首爾參加"11th International Conference on Magnetic and Superconducting Materials (MSM19)"。</t>
  </si>
  <si>
    <t>參加"the 2019 Annual Review of the USAF-Taiwan Nanoscience Program"。</t>
  </si>
  <si>
    <t>108/12/08-108/12/12</t>
  </si>
  <si>
    <t>參加" the 14th Asia-Pacific Physics Conference 2019 (APPC14)"。</t>
  </si>
  <si>
    <t>108/11/18-108/11/21</t>
  </si>
  <si>
    <t>古晉市</t>
  </si>
  <si>
    <t>108年6月23日至6月27日，出席於荷蘭舉行的【第15屆代謝組學國際會議】</t>
  </si>
  <si>
    <t>108/06/21-108/06/29</t>
  </si>
  <si>
    <t>海牙(Hague,the)</t>
  </si>
  <si>
    <t>108年10月8日至10月11日，出席於德國舉行的【Europe Biobank Week 2019】</t>
  </si>
  <si>
    <t>108/10/06-108/10/13</t>
  </si>
  <si>
    <t>呂貝克</t>
  </si>
  <si>
    <t>108年10月8日至10月11日，出席於德國舉行的【歐洲生物銀行週2019年會議】</t>
  </si>
  <si>
    <t>108/09/26-108/10/13</t>
  </si>
  <si>
    <t>108年10月15日至10月19日，出席於美國舉行的【美國人類遺傳學會第69屆年會】</t>
  </si>
  <si>
    <t>108/10/09-108/10/21</t>
  </si>
  <si>
    <t>參加【亞洲世代研究聯合會與國際肝癌流行病學聯合會。</t>
  </si>
  <si>
    <t>108/11/03-108/11/11</t>
  </si>
  <si>
    <t>108/10/11-108/10/21</t>
  </si>
  <si>
    <t>參加【亞洲世代研究聯合會與國際肝癌流行病學聯合會</t>
  </si>
  <si>
    <t>參加【亞洲世代研究聯合會與國際肝癌流行病學聯合會】。</t>
  </si>
  <si>
    <t>內參加【亞洲世代研究聯合會與國際肝癌流行病學聯合會。</t>
  </si>
  <si>
    <t>TPP計畫共同主持人王惠鈞院士指派本人代表TPP抗體旗艦型計畫前往出席此會議，將彙整近期研究重要成果赴會議張貼研究論文海報，利用會議期間與他國研究人員或產業界進行學術技術交流，期望透過本會議宣揚TPP研究目標與成果，提升本國蛋白質研究領域成果國際知名度。</t>
  </si>
  <si>
    <t>108/08/17-108/08/23</t>
  </si>
  <si>
    <t>108/07/06-108/07/09</t>
  </si>
  <si>
    <t>參加在德國柏林舉行之「2019顯微鏡大會」, 此會議中的life science1 (Single particle, cryoEM) 與Life sciences 4 (Cryo and Plastic Section Tomography on Biological Samples)兩個是主要參加的主題</t>
  </si>
  <si>
    <t>由Korea University邀請，赴該校訪問及學術交流</t>
  </si>
  <si>
    <t>108/08/16-108/08/28</t>
  </si>
  <si>
    <t>由University of Western Australia邀請赴該校訪問與學術交流</t>
  </si>
  <si>
    <t>108/10/22-108/11/05</t>
  </si>
  <si>
    <t>赴土耳其出席第18屆世界空氣淨化大會，發表空氣污染與健康效應的研究成果，瞭解該領域最新研究的發展。</t>
  </si>
  <si>
    <t>108/09/21-108/09/28</t>
  </si>
  <si>
    <t>伊斯坦堡(Istanbul)</t>
  </si>
  <si>
    <t>Attending The 62nd ISI World Statistics Congress (ISI 2019) at Kuala Lumpur to learn advanced statistical techniques that help the execution of my projects.馬來西亞吉隆坡第62屆國際統計學會年會</t>
  </si>
  <si>
    <t>1. Professor Xiaoling Dou 邀請，於11月4日至11月8日訪問 Waseda University. 2. 11月5日與8日於Chuo University 分別進行討論與演講． 3. 參加 11月6~7日Waseda University / Academia Sinica Data Science Workshop．</t>
  </si>
  <si>
    <t>108/11/03-108/11/09</t>
  </si>
  <si>
    <t>108/08/25-108/08/31</t>
  </si>
  <si>
    <t>赴日本福岡參加Multidisciplinary Perspectives on Algorithms Regulation, Governance, Markets會議並發表論文。</t>
  </si>
  <si>
    <t>108/11/17-108/11/24</t>
  </si>
  <si>
    <t>108/12/10-108/12/16</t>
  </si>
  <si>
    <t>12月9日至11日參加於美國華盛頓特區舉辦的美國細胞生物學學會（ASCB）年度會議</t>
  </si>
  <si>
    <t>108/11/25-108/12/16</t>
  </si>
  <si>
    <t>法國(France) 比利時(Belgium) 美國(U.S.A.)</t>
  </si>
  <si>
    <t>巴黎(Paris) 魯汶 華盛頓特區(Washington)</t>
  </si>
  <si>
    <t>108年11月27-29日受邀於法國巴黎舉辦的the International Meeting on Cilia, Flagella and Centrosomes演講；12月4日與比利時天主教魯汶大學Professor Peter Dedecker討論研究合作事宜</t>
  </si>
  <si>
    <t>赴德國Institute of Environmental Physics/ Institute of Remote Sensing of the University of Bremen(布萊梅大學)參訪，共同研討亞洲地區之空氣汙染問題及其對區域大氣化學與氣候變遷的影響，及合作計畫-EMeRGe Project TEAM 4 meeting 事宜。</t>
  </si>
  <si>
    <t>108/12/16-108/12/21</t>
  </si>
  <si>
    <t>赴美國威斯康辛大學麥迪遜分校大氣海洋學系訪問，及赴法國巴黎出席貝蒙論壇進行訪問交流</t>
  </si>
  <si>
    <t>前往美國德州大學休士頓醫學中心The Center for Precision Health 進行學術交流訪問</t>
  </si>
  <si>
    <t>108/12/21-108/12/30</t>
  </si>
  <si>
    <t>前往美國University of Texas Health Science Center-Houston訪問並發表演講。</t>
  </si>
  <si>
    <t>108/11/22-108/12/05</t>
  </si>
  <si>
    <t>由新興農業生物技術國外差旅費支付 ASPB 2019，將在ASPB2019壁報論文展示與甘藍淹水有關的研究結果</t>
  </si>
  <si>
    <t>108/07/31-108/08/15</t>
  </si>
  <si>
    <t>前往瑞士日內瓦出席 ICSC - World Laboratory 2019 General Assembly。</t>
  </si>
  <si>
    <t>108/10/27-108/11/02</t>
  </si>
  <si>
    <t>出席 "MEETING OF THE MINDS SYMPOSIUM" 並於會前與德州超導中心科學家討論超導電性和相關材料方面的潛在合作。</t>
  </si>
  <si>
    <t>108/11/12-108/11/17</t>
  </si>
  <si>
    <t>Rüdesheim Villigen PSI Marburg</t>
  </si>
  <si>
    <t>108/10/05-108/10/14</t>
  </si>
  <si>
    <t>Kreuth</t>
  </si>
  <si>
    <t>11/9返台原因:為生技醫藥轉譯創新計劃國際合作組(TSPA)於2019/11/14-16主辦之Taiwan-Japan Bilateral Conference on Phosphatase。因9/29 已自行支付,而12/13將為TSPA國合組與京都大學合作案再次返台，為節省費經費，11/27與12/13為來回機票，而11/9為單程機票。</t>
  </si>
  <si>
    <t>108/09/29-109/07/31</t>
  </si>
  <si>
    <t>為執行年度計畫生物醫學研究所TSPA-國際合作組協同主持人陳玠甫博士，將於2019年5月20日至5月24日參加日本醫學相關企業、學術機構，如 京都大學、iCeMS、CiRA...等重點醫學機構之參訪行程，其參訪行程為國合組108年度預計完成之國際合作計畫</t>
  </si>
  <si>
    <t>出國計畫名稱: Use of SANS to study of a highly glycosylated receptor-like protein tyrosine phosphatase 工作內容: (5/13) 實驗前準備及訓練、(5/14-15) 收集實驗數據、(5/16) 實驗數據分析及討論</t>
  </si>
  <si>
    <t>108/05/11-108/05/19</t>
  </si>
  <si>
    <t>生化所膜蛋白策略性投資研究經費所資助之研究需前往澳洲ANSTO搜集小角度中子散射實驗數據，故由所方業務費(或經孟子青老師同意由TSPA國際合作計畫)支付本次出國相關費用</t>
  </si>
  <si>
    <t>出席廣島舉行之第15屆ISBAB座談會發表演講及主持，強化國際間生物技術學術交流; 參訪北海道札幌醫科大學與舉辦台日ARO研討會，促進台日雙方細胞治療及再生醫學相關合作，協助推動未來交流與合作機會。</t>
  </si>
  <si>
    <t>廣島(Hiroshima) 札幌(Sapporo) 仙台</t>
  </si>
  <si>
    <t>於2019年9月23-25日期間隨同TSPA總主持人王惠鈞院士，前往日本北海道札幌大學參訪洽談臺日雙邊合作成立脊椎損傷再生醫學療法研究中心事宜。</t>
  </si>
  <si>
    <t>108/09/23-108/09/25</t>
  </si>
  <si>
    <t>本會議為人類蛋白質體重要的年度會議，主要以蛋白質體學相關的研究技術來爭對疾病的治療與應用開發，包含物理、化學、儀器分析、生命科學和醫學等領域，每年有逾千篇的海報發表，參加此會議目的期望能了解更多可用的工具，並與頂尖學者有更多的交流，以提升研究能量以及解決目前所遭遇到的技術瓶頸。</t>
  </si>
  <si>
    <t>108/09/13-108/09/26</t>
  </si>
  <si>
    <t>為了解全球在益生菌之應用，以參與ITAR計畫成果 "Screening and study of probiotics with antiviral potential" 參加壁報展演，與國際專家學者進行學術及技術交流。</t>
  </si>
  <si>
    <t>赴美國波士頓參加2019 MRS Fall Meeting and Exhibit會議</t>
  </si>
  <si>
    <t>108/11/29-108/12/07</t>
  </si>
  <si>
    <t>赴紐西蘭奧克蘭出席「10th International Conference on Advanced Vibrational Spectroscopy」會議並發表論文。</t>
  </si>
  <si>
    <t>108/07/06-108/07/20</t>
  </si>
  <si>
    <t>赴澳洲雪梨參加第九屆亞太理論與計算化學家研討會，並於會議中報告近期研究成果</t>
  </si>
  <si>
    <t>108/09/28-108/10/04</t>
  </si>
  <si>
    <t>108/12/07-108/12/23</t>
  </si>
  <si>
    <t>參加美國地球物理聯盟舊金山秋季大會(2019AGU Fall Meeting)</t>
  </si>
  <si>
    <t>赴美國舊金山參加The American Geophysical Union Fall Meeting 2019</t>
  </si>
  <si>
    <t>NBA10853034-18(53/)_ACL 2019</t>
  </si>
  <si>
    <t>NBA10853034-28(53/)黃郁芬_ISMIR 2019</t>
  </si>
  <si>
    <t>參加於南韓慶洲，由 Cold Spring Asia 所主辦之 Plant Cell and Development 研討會，並發表口頭論文報告。</t>
  </si>
  <si>
    <t>The International Plant Growth Substances Association (IPGSA) Conference</t>
  </si>
  <si>
    <t>108/06/23-108/07/02</t>
  </si>
  <si>
    <t>參加國際研討會 2019 ISPP 國際植物光生物學研討會</t>
  </si>
  <si>
    <t>出席第十八屆植物與微生物分子交互作用國際研討會[2019 IS-MPMI XVIII Congress]</t>
  </si>
  <si>
    <t>Seville</t>
  </si>
  <si>
    <t>中央研究院獎助院內年輕學者赴國外參加國際學術會議 參加EMBO workshop: bacterial cell division: closing the gap</t>
  </si>
  <si>
    <t>Lund</t>
  </si>
  <si>
    <t>參加International Convention of Asia Scholars(國際亞洲會議)並發表論文Counter-narratives: Religious Heritage in Taipei一篇。</t>
  </si>
  <si>
    <t>108/07/12-108/07/21</t>
  </si>
  <si>
    <t>參加美國人類學與加拿大人類學年會，發表論文，作為主要籌組人。</t>
  </si>
  <si>
    <t>108/11/21-108/11/26</t>
  </si>
  <si>
    <t>參加於美國華盛頓特區舉辦的國際會議Revisiting the Cold War on Taiwan，發表論文Becoming Taiwanese in Iowa City，與多位研究冷戰、台灣、中美關係的學者互相交流。會議結束會，將前往鄰近的National Archives and Records Administration收集與冷戰相關的研究文獻與資料。</t>
  </si>
  <si>
    <t>108/12/04-108/12/11</t>
  </si>
  <si>
    <t>赴日本京都參加國際學術會議 Data Science, Statistics and Visualisation 2019「2019資料科學、統計及視覺化會議」</t>
  </si>
  <si>
    <t>108/08/12-108/08/19</t>
  </si>
  <si>
    <t>參加2019顯微鏡學與微觀分析會議Microscopy &amp; Microanalysis 2019 Meeting，並發表poster presentation</t>
  </si>
  <si>
    <t>於108年9月30日至10月3日，出席於澳洲雪梨舉行的【APATCC 2019】</t>
  </si>
  <si>
    <t>108/09/28-108/10/08</t>
  </si>
  <si>
    <t>108年10月15日至10月19日，出席於美國休士頓舉行的【美國人類遺傳學會】</t>
  </si>
  <si>
    <t>108年10月19日至10月23日，出席於美國芝加哥舉行的【49th annual meeting for Neuroscience 2019】</t>
  </si>
  <si>
    <t>108/10/17-108/10/27</t>
  </si>
  <si>
    <t>108年10月15日至10月19日，出席於美國休士頓舉行的【2019美國人類遺傳學會年會】</t>
  </si>
  <si>
    <t>108/10/12-108/10/21</t>
  </si>
  <si>
    <t>108年7月21日至7月25日，出席於瑞士舉行的【ISMB/ECCB 2019 conference】</t>
  </si>
  <si>
    <t>108/07/11-108/07/29</t>
  </si>
  <si>
    <t>赴美國加州大學柏克萊分校進行研究(執行本院與美國頂尖大學及研究機構人才培育合作計畫)，赴美期間為帶職帶薪。</t>
  </si>
  <si>
    <t>108/06/28-109/07/07</t>
  </si>
  <si>
    <t>前往美國波士頓參加 MRS 秋季會議,並前往史丹佛大學 HONGJIE DAI 實驗室參訪</t>
  </si>
  <si>
    <t>108/11/28-108/12/14</t>
  </si>
  <si>
    <t>波士頓(Boston,Massachuseetts) 帕洛阿爾托(Palo Alto,California)</t>
  </si>
  <si>
    <t>前往泰國參加國際蝙蝠研究研討會</t>
  </si>
  <si>
    <t>108/07/26-108/08/02</t>
  </si>
  <si>
    <t>普吉(Phuket)</t>
  </si>
  <si>
    <t>年度植物生物學會議是國際最重要的植物學會議，已經舉辦了八十多年，每年一千多人來自四十個國家參加。每屆都會舉辦最新的植物科學研究，今年的會議將包括五個大會主題演說以及三十個專題演講。參與者將年度植物生物學會議視為首要的科學活動，因為它完美地融合了研究，教育和交流機會</t>
  </si>
  <si>
    <t>赴法國里昂出席會議並發表論文。</t>
  </si>
  <si>
    <t>108/06/19-108/07/21</t>
  </si>
  <si>
    <t>法國(France) 荷蘭(Netherlands)</t>
  </si>
  <si>
    <t>里昂(Lyon) 烏特勒支(Utrecht) 馬賽(Marseille)</t>
  </si>
  <si>
    <t>本次出國申請獎助院內年輕學者赴國外參加國際學術會議，將於研討會中發表使用2017年「台灣社會變遷基本調查」之「社會網絡與資源」問卷，以及2010年「接種疫苗意願之衛教資訊與網絡效應：以台灣未接種流感疫苗成人為例」，等兩個台灣大型全國抽樣調查資料之研究成果，並與國際學者進行學術交流</t>
  </si>
  <si>
    <t>108/06/17-108/06/23</t>
  </si>
  <si>
    <t>赴The EGOS and Organization Studies Kyoto Workshop 2019發表"Pathways to Power in the Emerging Economy: The Case of Top Corporate Chairmen in Taiwan"</t>
  </si>
  <si>
    <t>108/12/12-108/12/22</t>
  </si>
  <si>
    <t>至澳洲的 University of Newcastle 參加Journal of Youth Studies Conference 2019</t>
  </si>
  <si>
    <t>108/11/29-108/12/06</t>
  </si>
  <si>
    <t>Newcastle</t>
  </si>
  <si>
    <t>海報論文發表於第十八屆世界聾人聯合會</t>
  </si>
  <si>
    <t>108/07/21-108/08/15</t>
  </si>
  <si>
    <t>赴莫斯科出席Architectures and Mechanisms of Language Processing, 2019會議, 並發表海報論文</t>
  </si>
  <si>
    <t>108/09/02-108/09/15</t>
  </si>
  <si>
    <t>出席國際會議 Architectures and Mechanisms of Language Processing</t>
  </si>
  <si>
    <t>108/09/02-108/09/14</t>
  </si>
  <si>
    <t>本次參訪泰國朱拉隆功大學獸醫系進行學術交流與合作及參加全球獸醫實驗室診斷學家學會國際研討會並發表論文，主要目的希望提供農業生技與藥用植物知識與專長及發表研發藥用植物作為動物植生素研發植生素作為腸道菌相調節劑和獸醫研究學者進行交流。</t>
  </si>
  <si>
    <t>清邁(Chiang mai) 曼谷(Bangkok)</t>
  </si>
  <si>
    <t>獎助院內年輕學者出席國際學術會議，經申請審核通過，依申請內容實際參加指定之國際會議</t>
  </si>
  <si>
    <t>赴美國波士頓參加2019 MRS Fall Meeting and Exhibition</t>
  </si>
  <si>
    <t>發表這一年對太陽能電池的主動層的沉積模擬之結果</t>
  </si>
  <si>
    <t>該會為澳洲計量政治學學會之年會，不僅有美國重量級學者的與會，更可以透過發表與參與建立與澳洲學者的學術連結，皆有利於我國的學術發展。</t>
  </si>
  <si>
    <t>108/12/07-108/12/11</t>
  </si>
  <si>
    <t>參加11/17-19舉行的Hallmarks of Cancer國際會議，發表研究成果</t>
  </si>
  <si>
    <t>108/11/15-108/11/24</t>
  </si>
  <si>
    <t>108/07/15-108/07/29</t>
  </si>
  <si>
    <t>2019美國細胞生物暨歐洲分子生物組織聯席會議 ASCB年度會議是細胞生物學領域中知名的國際會議，而ASCB的年度會議將通常在十二月的前兩週內舉行。此次與會之相關研究發表是針對經免疫反應產生的細胞激素，其相關機制得釐清及調控。詳細研究過程及結果將在會議進行期間以海報形式發表。</t>
  </si>
  <si>
    <t>108/12/04-108/12/31</t>
  </si>
  <si>
    <t>前往美國 Bloomington 參加46th National Organic Chemistry Symposium並張貼海報。</t>
  </si>
  <si>
    <t>108/06/19-108/07/02</t>
  </si>
  <si>
    <t>Bloomington</t>
  </si>
  <si>
    <t>108/06/25-108/07/04</t>
  </si>
  <si>
    <t>神經信息處理系統大會</t>
  </si>
  <si>
    <t>ACM/IEEE International Conference on Hardware/Software Codesign and System Synthesis (CODES/ISSS 2019)</t>
  </si>
  <si>
    <t>International Conference On Computer Aided Design</t>
  </si>
  <si>
    <t>科羅拉多州威斯敏斯特</t>
  </si>
  <si>
    <t>赴美國普林斯頓大學物理系(Princeton University)進行細菌生物膜集體行為與其結構生成動力學之生物物理合作研究計畫。</t>
  </si>
  <si>
    <t>108/01/01-108/11/05</t>
  </si>
  <si>
    <t>Princeton</t>
  </si>
  <si>
    <t>To present my work in the International conference</t>
  </si>
  <si>
    <t>108/07/14-108/07/23</t>
  </si>
  <si>
    <t>阿威羅</t>
  </si>
  <si>
    <t>NBA10853035-22(53/)_NAACL2019</t>
  </si>
  <si>
    <t>前往京都大學進行半年的學術研究</t>
  </si>
  <si>
    <t>107/10/31-108/04/30</t>
  </si>
  <si>
    <t>前往美國威斯康辛大學麥迪遜校區進行國際研究合作交流及執行大動物及非人類靈長類動物實驗</t>
  </si>
  <si>
    <t>108/04/16-108/06/14</t>
  </si>
  <si>
    <t>威斯康斯 威斯康辛</t>
  </si>
  <si>
    <t>前往參加於英國倫敦邱園(Royal Botanic Garden Kew)舉辦之第七屆國際蘭花保育大會</t>
  </si>
  <si>
    <t>108/05/25-108/06/08</t>
  </si>
  <si>
    <t>倫敦(London) 愛丁堡(Edinburgh)</t>
  </si>
  <si>
    <t>這項研究的目的是製造用於癌症治療的近紅外（NIR）探針綴合物DET或DETD-35。 Jacquelyn Gervay-Hague教授擁有有機化學專業知識，透過與她的實驗室合作，我將在加州大學戴維斯分校學習有機合成技術。</t>
  </si>
  <si>
    <t>108/05/22-108/09/01</t>
  </si>
  <si>
    <t>108/01/01-108/06/30</t>
  </si>
  <si>
    <t>洛桑</t>
  </si>
  <si>
    <t>GRC-2019 Oxidative Stress and Disease The focus will be on the use of advanced omics methods to address redox mechanisms of complex diseases.</t>
  </si>
  <si>
    <t>108/03/16-108/03/26</t>
  </si>
  <si>
    <t>Ventura, California</t>
  </si>
  <si>
    <t>臺俄(RU)國合計畫-氣體動力學方程的分析及數值之研究(3/3)劉太平_108-2923-M-001-001-</t>
  </si>
  <si>
    <t>Russian Academy of Science 期間 (5/26-6/8) 生活費</t>
  </si>
  <si>
    <t>泊車函數、沙堆模型、塔特多項式及其應用(葉永南)_107-2115-M-001-009-MY3</t>
  </si>
  <si>
    <t>受邀出國移地研究： 10/7-10/16 Gyeongsang National University 10/17-10/21 Applied Algebra and Optimization Research Center</t>
  </si>
  <si>
    <t>108/10/07-108/10/21</t>
  </si>
  <si>
    <t>Jinju Suwon</t>
  </si>
  <si>
    <t>整合研究: 幾何與拓樸-一般李群作用下的複或柯西黎曼流形(鄭日新)_108-2115-M-001-011-</t>
  </si>
  <si>
    <t>受邀出國移地研究：美國 Princeton University</t>
  </si>
  <si>
    <t>108/11/15-108/11/26</t>
  </si>
  <si>
    <t>Princeton, NJ</t>
  </si>
  <si>
    <t>受邀至Keldysh Institute of Applied Mathematics,Russain Academy of Science移地研究</t>
  </si>
  <si>
    <t>108/08/29-108/09/07</t>
  </si>
  <si>
    <t>以隨機配置法及多項式渾沌展開法估計選擇權訂價(林玉端)_107-2115-M-001-004-MY2</t>
  </si>
  <si>
    <t>受邀至日本Hitotsubashi University移地研究</t>
  </si>
  <si>
    <t>108/10/11-108/10/19</t>
  </si>
  <si>
    <t>質量,田中-韋伯斯特商及CR山邊問題(1/3)(鄭日新)_108-2115-M-001-010-</t>
  </si>
  <si>
    <t>受邀出國移地研究：Scuola Normale Superiore, Pisa, Italy</t>
  </si>
  <si>
    <t>108/10/06-108/10/17</t>
  </si>
  <si>
    <t>Pisa</t>
  </si>
  <si>
    <t>具有群作用的非緊緻複流形上的分析及幾何_107-2115-M-001-012-MY2</t>
  </si>
  <si>
    <t>受邀於University of Cologne移地研究</t>
  </si>
  <si>
    <t>科技部108年臺德(MOST-DAAD)雙邊合作計畫。 計畫名稱:G-Shtukas之幾何與算術探討(1/2) 核定編號:108-2911-I-001-506</t>
  </si>
  <si>
    <t>受邀至University of Muenster移地研究</t>
  </si>
  <si>
    <t>108/06/16-108/07/15</t>
  </si>
  <si>
    <t>Munster</t>
  </si>
  <si>
    <t>科技部108年臺德(MOST-DAAD)雙邊合作計畫。 計畫名稱：G-Shtukas 之幾何與算術討論(1/2) 核定編號：108-2911-I-001-506</t>
  </si>
  <si>
    <t>受邀至University of Münster移地研究</t>
  </si>
  <si>
    <t>108/09/13-108/09/29</t>
  </si>
  <si>
    <t>Münster</t>
  </si>
  <si>
    <t>本所研究員章文箴先生訂於2019年4月1日至4月13日止前往瑞士日內瓦「歐洲粒子物理研究中心」(CERN)進行研究且參加實驗團隊會議，隨後再至義大利都靈(Turin)參加國際會議(會議名稱: XXVII International Workshop on Deep-Inelastic Scattering and Related Subjects，簡稱DIS2019)。</t>
  </si>
  <si>
    <t>108/04/01-108/04/13</t>
  </si>
  <si>
    <t>義大利(Italy) 瑞士(Switzerland)</t>
  </si>
  <si>
    <t>杜林(Turin) 日內瓦(Geneva)</t>
  </si>
  <si>
    <t>本所研究助理朱昱光先生於2019年2月15日至3月31日前往日本岐阜實驗室參與KAGRA研究計畫相關工作，建置實驗設備。</t>
  </si>
  <si>
    <t>108/02/15-108/03/31</t>
  </si>
  <si>
    <t>副研究員灰野禎一博士擬於2019年4月8日至4月11日前往德國漢諾威進行KAGRA計畫之雷射系統架設等相關學術工作</t>
  </si>
  <si>
    <t>108/04/08-108/04/11</t>
  </si>
  <si>
    <t>研究員王子敬先生於2019年11月30日起至12月7日止前往美國西雅圖(Seatte)之華盛頓大學(Univ. of Washington)參加LEGEND與PIRE合作團隊會議（LEGEND Collaboration meeting），進行專題研究、研習專業知識及技能、報告我方進展規劃未來工作等事宜。</t>
  </si>
  <si>
    <t>108/11/30-108/12/07</t>
  </si>
  <si>
    <t>博士生謝佳諭小姐將於2019年9月11日起至2019年10月18日止前往瑞士日內瓦之「歐洲粒子物理研究中心」CERN從事研究工作，進行專題研究並增強對該領域之專業知識和技。</t>
  </si>
  <si>
    <t>108/09/11-108/10/18</t>
  </si>
  <si>
    <t>本所研究員灰野禎一博士擬於2019年10月20日至10月30日前往日本富山進行KAGRA天文台系統特性化之相關工作。</t>
  </si>
  <si>
    <t>108/10/20-108/10/30</t>
  </si>
  <si>
    <t>受邀赴日本Okinawa Institute of Science and Technology Graduate University進行移地研究</t>
  </si>
  <si>
    <t>灰野禎一博士於2018年10月1日至2019年8月16日赴瑞士日內瓦歐洲粒子物理研究中心(CERN)從事AMS實驗研究工作，其中2018年11月13日至11月21日返台參與工作會議。</t>
  </si>
  <si>
    <t>107/10/01-108/08/16</t>
  </si>
  <si>
    <t>高速X光三維成像重建構全腦神經網路結構(2/4)_108-2119-M-001-015-</t>
  </si>
  <si>
    <t>應邀赴日本兵庫縣SPring-8進行X光相關研究</t>
  </si>
  <si>
    <t>108/09/25-108/10/06</t>
  </si>
  <si>
    <t>應邀赴日本兵庫縣SPring-8進行X光相關實驗(研究)</t>
  </si>
  <si>
    <t>108/09/02-108/09/06</t>
  </si>
  <si>
    <t>應邀赴日本兵庫縣SPring-8進行X光相關研究。</t>
  </si>
  <si>
    <t>臺日(JP)雙邊協議型擴充加值(add-on)國際合作研究計畫-建構10奈米解析度之X光斷層攝影術_108-2923-M-001-008-MY2</t>
  </si>
  <si>
    <t>離子束偵絕對劑量校正程序開發及重離子束測試測器_02T-1080220-1C</t>
  </si>
  <si>
    <t>研究技師林志勳博士擬於2019年10月27日至10月31日赴日本與Sumitomo討論未來合作事宜及赴大阪重粒子線醫院(Osaka Heavy Ion Therapy Center)進行粒子探測器的重離子射束測試</t>
  </si>
  <si>
    <t>108/10/27-108/10/31</t>
  </si>
  <si>
    <t>新居浜市 大阪(Osaka)</t>
  </si>
  <si>
    <t>本所研究員灰野禎一博士灰野禎一博士擬於2019年12月11日至12月21日前往日本富山與大阪城市大學進行KAGRA天文台系統特性化之相關研究工作。</t>
  </si>
  <si>
    <t>108/12/11-108/12/21</t>
  </si>
  <si>
    <t>富山 大阪(Osaka)</t>
  </si>
  <si>
    <t>本組派遣摩洛哥籍學者馬茲尼先生(Rachid Mazini)自2018年8月1日起至2019年7月31日前往瑞士日內瓦之「歐洲核子研究組織」(European Organization for Nuclear Research，以下簡稱CERN)從事研究工作。</t>
  </si>
  <si>
    <t>107/08/01-108/07/31</t>
  </si>
  <si>
    <t>土耳其籍博士後研究梅圖琳小姐(Tulin Mete)自2018年8月1日 起至2019年7月31日前往瑞士日內瓦CERN)從事研究工作。</t>
  </si>
  <si>
    <t>108/05/01-108/07/31</t>
  </si>
  <si>
    <t>赴日本兵庫縣SPring-8進行X光相關研究。</t>
  </si>
  <si>
    <t>108/05/11-108/05/26</t>
  </si>
  <si>
    <t>高速X光三維成像重建構全?ㄞ姜g網路結構(1/4)_107-2119-M-001-047-</t>
  </si>
  <si>
    <t>108/06/13-108/06/16</t>
  </si>
  <si>
    <t>在ATLAS實驗搜尋新物理與?_107-2119-M-001-019-</t>
  </si>
  <si>
    <t>中國科學技術大學王瑋韜先生(大陸籍)於2018年11月1日至2019年7月31日赴瑞士日內瓦歐洲粒子物理研究中心(CERN)從事ATLAS實驗研究工作</t>
  </si>
  <si>
    <t>107/11/01-108/07/31</t>
  </si>
  <si>
    <t>應邀赴日本兵庫縣SPring-8進行X光相關實驗</t>
  </si>
  <si>
    <t>108/05/06-108/06/06</t>
  </si>
  <si>
    <t>以超導量子位元增強微機械振盪器與電磁波之光參耦合_107-2112-M-001-001-MY3</t>
  </si>
  <si>
    <t>進行「Driving a mechanical resonator by single electrons」實驗研究</t>
  </si>
  <si>
    <t>蘭卡斯特</t>
  </si>
  <si>
    <t>赴愛知縣岡崎市日本自然科學研究機構，分子科學研究所進行「以掃描穿隧X光顯微術研究氣體凝態奈米結構」相關實驗研究。</t>
  </si>
  <si>
    <t>愛知縣岡崎市</t>
  </si>
  <si>
    <t>所研究員章文箴先生擬於2019年9月18日至9月27日止前往日本茨城縣筑波市（Tsukuba,Ibaraki）之「日本高能加速器研究機構理論中心」（High Energy Accelerator Research Organization，簡稱KEK）進行專題研究、研習專業知識及技能，期間受邀參加國際會議（3rd J-PARCSymposium 2019）並發表專題演講。</t>
  </si>
  <si>
    <t>茨城縣筑波市（Tsukuba, Ibaraki）</t>
  </si>
  <si>
    <t>赴日本金澤大學做實驗研究。</t>
  </si>
  <si>
    <t>108/09/20-108/10/21</t>
  </si>
  <si>
    <t>以精密磁譜儀探測宇宙中之反物質及暗物質-18暨愛因?筒Z重力場論的再檢視_107-2119-M-001-021-</t>
  </si>
  <si>
    <t>李世昌先生擬於108年9月24日至9月27日前往歐洲粒子物理研究中心(CERN)參與AMS實驗組會議</t>
  </si>
  <si>
    <t>至挪威、英國進行實驗研究</t>
  </si>
  <si>
    <t>108/07/24-108/08/16</t>
  </si>
  <si>
    <t>挪威(Norway) 英國(United Kingdom)</t>
  </si>
  <si>
    <t>Narvik那維克 蘭卡斯特市</t>
  </si>
  <si>
    <t>赴印度清奈 Centre for nanoscience and technology - Anna University研究。</t>
  </si>
  <si>
    <t>108/09/01-108/09/26</t>
  </si>
  <si>
    <t>專任助理林哲聖先生於2019年11月5日至12月7日止前往日本茨城縣東海村「日本高能加速器研究機構理論中心」（High Energy Accelerator Research Organization，簡稱KEK）之J-PARC進行專題研究、研習專業知識及技能。</t>
  </si>
  <si>
    <t>108/11/05-108/12/07</t>
  </si>
  <si>
    <t>日本茨城縣（Ibaraki, Japan）</t>
  </si>
  <si>
    <t>赴南韓Pohang Accelerator Laboratory (PAL)進行X光相關實驗</t>
  </si>
  <si>
    <t>108/11/16-108/11/22</t>
  </si>
  <si>
    <t>108/11/11-108/11/16</t>
  </si>
  <si>
    <t>杜其永研究員擬於108年4月1日至108年5月10日赴斯洛維尼亞和匈牙利，於4/15至5/8赴匈牙利科學院進行移地研究</t>
  </si>
  <si>
    <t>王嵩銘副研究員奉核准於2019年5月13日至5月17日自日內瓦前往義大利熱那亞（Genova, Italy）參加研討會（ATLAS Hbb Workshop）且進行專題研究並增強對該領域之專業知識和技能。</t>
  </si>
  <si>
    <t>108/05/13-108/05/17</t>
  </si>
  <si>
    <t>義大利熱那亞（Genova, Italy）</t>
  </si>
  <si>
    <t>本所研究生(碩士)曾煒軒擬於108年4月20日至108年5月10日赴匈牙利布達佩斯進行移地研究</t>
  </si>
  <si>
    <t>108/04/20-108/05/10</t>
  </si>
  <si>
    <t>研究員王子敬先生於2019年5月22日至6月10日前往德國慕尼黑(Munich)、義大利拉奎拉(l’Aquila)參加PIRE及LEGEND合作討論會(PIRE-GEMADARC and LEGEND Collaboration Meeting)以進行專題研究、研習專業知識及技能。</t>
  </si>
  <si>
    <t>108/05/22-108/06/10</t>
  </si>
  <si>
    <t>赴日本兵庫縣SPring-8進行X光相關研究及前往南韓Pohang Accelerator Laboratory (PAL)進行X光相關研究</t>
  </si>
  <si>
    <t>108/03/25-108/04/22</t>
  </si>
  <si>
    <t>日本(Japan) 南韓(Korea)</t>
  </si>
  <si>
    <t>兵庫縣 浦項</t>
  </si>
  <si>
    <t>赴日本埼玉縣理化學研究所進行學術交流</t>
  </si>
  <si>
    <t>108/04/01-108/05/25</t>
  </si>
  <si>
    <t>埼玉縣和光市</t>
  </si>
  <si>
    <t>發展高生物相容性X光奈米閃爍晶體及其生醫應用_107-2923-M-001-012-MY3</t>
  </si>
  <si>
    <t>前往日本兵庫縣SPring-8及南韓Pohang Accelerator Laboratory (PAL)進行X光相關研究</t>
  </si>
  <si>
    <t>108/03/25-108/04/04</t>
  </si>
  <si>
    <t>受邀前往瑞士洛桑理工學院 Ecole Polytechnique Federale de Lausanne (EPFL)進行研究</t>
  </si>
  <si>
    <t>108/02/23-108/03/05</t>
  </si>
  <si>
    <t>林耿慧副研究員擬於2019-02-27至2019-03-08赴美國，於2/28至3/1赴美國賓州大學進行研究</t>
  </si>
  <si>
    <t>108/03/29-108/04/17</t>
  </si>
  <si>
    <t>「BioNOF：無標記式奈米光流體生醫檢測系統(1/2)，計劃編號：「108-2119-I-001-509」</t>
  </si>
  <si>
    <t>針對計劃相關主題進行納米狹縫動力學傳感平台與法國合作夥伴新開發的3D打印的懸臂尖端樣品分配器系統的學術交流。</t>
  </si>
  <si>
    <t>108/10/29-108/11/14</t>
  </si>
  <si>
    <t>108/10/29-108/11/15</t>
  </si>
  <si>
    <t>科技部專案補助台英雙邊研究人員交流計畫「以單電子元件驅動機械共振子(1/2)」(107-2911-I-001-511)</t>
  </si>
  <si>
    <t>赴Lancaster University進行「Driving a mechanical resonator by single electrons」相關實驗研究。</t>
  </si>
  <si>
    <t>108/08/05-108/08/16</t>
  </si>
  <si>
    <t>107年度台德雙邊合作計畫(MOST-DAAD),核定編號:107-2911-I-001-504</t>
  </si>
  <si>
    <t>前往U.Goettingen進行學術交流，並執行科技部台德雙邊計畫(MOST-DAAD)</t>
  </si>
  <si>
    <t>台灣及鄰近地區地體動力學研究 II (GOTTA II)-構建即時傳輸南海地震網與南海周邊地體構造研究(I)_105-2116-M-001-025-MY3</t>
  </si>
  <si>
    <t>執行科技部計畫，赴索羅門與當地機構進行討論研究計畫成果，並勘查野外測站架設事宜</t>
  </si>
  <si>
    <t>108/06/24-108/07/01</t>
  </si>
  <si>
    <t>索羅門群島(Solomon Islands)</t>
  </si>
  <si>
    <t>科技部107年度【 雪山山脈與脊樑山脈之地質界線特徵研究(IV) 】經費，至奧地利進行測繪級無人機載光達系統操作訓練</t>
  </si>
  <si>
    <t>霍恩(Horn)</t>
  </si>
  <si>
    <t>CREATE VII:亞洲增生與碰撞大地構造研究整合型計畫-III-利用線性陣列與_107-2116-M-001-008-</t>
  </si>
  <si>
    <t>赴寮國及越南從事野外工作設置寬頻地震觀測網地震站</t>
  </si>
  <si>
    <t>108/06/16-108/06/21</t>
  </si>
  <si>
    <t>越南(Vietnam) 寮國(Laos)</t>
  </si>
  <si>
    <t>河內(Hanoi) 永珍(Vientiane)</t>
  </si>
  <si>
    <t>智慧災防新南向執行推動辦公室暨新南向國家地球科學重點科技合作研究深耕計畫/拜訪東京工業大學 (TIT: Tokyo Institute of Technology) 地球科學研究所 Prof. Shigenori Maruyama，討論合作研究亞洲造山作用的相關事宜，並共同整理Maruyama教授多年來採集總量數十公噸的岩石標本，選擇運回台北，進行後續分析與合作研究。</t>
  </si>
  <si>
    <t>108/07/29-108/08/01</t>
  </si>
  <si>
    <t>以鈾鉛定年法與鍶-釹-鉿同位素探討中亞造山帶南部前寒武紀大陸地殼增生_108-2923-M-001-005-MY3</t>
  </si>
  <si>
    <t>赴吉爾吉斯進行野外地質考察及採樣</t>
  </si>
  <si>
    <t>108/09/02-108/09/12</t>
  </si>
  <si>
    <t>吉爾吉斯(Kyrgyzstan)</t>
  </si>
  <si>
    <t>Alpha Ring Fusion Reactor: a Prototype and Scale-up Model研製首環核融合反應器原型及放大模型體_365801</t>
  </si>
  <si>
    <t>與ARI實驗室工程師討論實驗操作細節與流程,參與實驗操作,並討論設計細節</t>
  </si>
  <si>
    <t>108/09/12-108/09/18</t>
  </si>
  <si>
    <t>Gardena, CA</t>
  </si>
  <si>
    <t>至新加坡南洋理工大學進行Asian Consortium of Volcanology(ACV)學術交流以及相關討論</t>
  </si>
  <si>
    <t>108/10/13-108/10/16</t>
  </si>
  <si>
    <t>活火山岩漿系統之地震成像研究_107-2923-M-001-006-MY3</t>
  </si>
  <si>
    <t>赴俄羅斯研究院西伯利亞分院參與火山監測與成像研究</t>
  </si>
  <si>
    <t>108/08/19-108/08/25</t>
  </si>
  <si>
    <t>Novosibirsk 新西伯利亞</t>
  </si>
  <si>
    <t>CREATE VIII:亞洲增生與碰撞大地構造研究整合型計畫-III (ACT in Asia-III)-CREATE VIII:亞洲增生與碰撞大地構造研究整合型計畫-III (ACT in Asia-III) 總計畫 暨 子計畫: 越南及其周邊地區寬頻網地震活動觀測與構造研究(1)_108-2116-M-001-011-</t>
  </si>
  <si>
    <t>配合科技部計畫與越南地球物理研究所討論及規劃未來研究事宜</t>
  </si>
  <si>
    <t>108/09/05-108/09/12</t>
  </si>
  <si>
    <t>至菲律賓進行國際合作研究計畫工作，工作方面包含三個部分：（1）與菲律賓火山地震研究所進行國際合作研究工作討論；（2）與菲律賓火山地震研究所人員一起前往Leyte島，維護GNSS監測網並下載GNSS資料；（3）與菲律賓測繪局開會並建立研究合作關係。</t>
  </si>
  <si>
    <t>108/08/04-108/08/13</t>
  </si>
  <si>
    <t>馬尼拉(Manila) Leyte</t>
  </si>
  <si>
    <t>世界最深淡水湖貝加爾湖的源匯研究：造山作用與湖泊沈積物源的關聯(2/3)_108-2923-M-001-003-</t>
  </si>
  <si>
    <t>赴俄羅斯西伯利亞Olondo綠岩帶進行野外地質調查與採樣</t>
  </si>
  <si>
    <t>108/07/15-108/08/12</t>
  </si>
  <si>
    <t>伊爾庫茲克、西伯利亞Olondo綠岩帶等地</t>
  </si>
  <si>
    <t>台北都會防災科學任務-確認大屯火山地下岩漿庫的位置與形貌(3/4)_108-2119-M-001-010-</t>
  </si>
  <si>
    <t>至南洋理工大學進行Asian Consortium of Volcanology(ACV)學術交流以及相關討論</t>
  </si>
  <si>
    <t>智慧災防新南向執行推動辦公室暨新南向國家地球科學重點科技合作研究深耕計畫(1/4) /至印尼進行野外地質考察及採樣</t>
  </si>
  <si>
    <t>108/07/25-108/08/25</t>
  </si>
  <si>
    <t>雅加達(Jakarta) 萬隆(Bandung) Semarang三寶瓏 Pacitan Arjosari Tegalombo Tulakan Yogyakarta日惹市 Karangsambung Banjarnegara</t>
  </si>
  <si>
    <t>台灣速度模型：建立、驗證、查詢與應用-台灣速度模型之驗證_107-2116-M-001-025-MY3</t>
  </si>
  <si>
    <t>赴芬蘭赫爾辛基市赫爾辛基大學與Gregor Hillers教授共同合作研究以高密度地震網資料分析台灣東部縱谷斷層速度構造並建立震源動力學破裂模型</t>
  </si>
  <si>
    <t>108/02/10-108/06/23</t>
  </si>
  <si>
    <t>The Seventh International Workshop on Seismotectonics in Myanmar and Earthquake Risk Management與海岸地質地形調查</t>
  </si>
  <si>
    <t>108/05/01-108/05/10</t>
  </si>
  <si>
    <t>馬尼拉(Manila) 中呂宋</t>
  </si>
  <si>
    <t>赴東京工業大學地球與生命研究所拜訪Shigenori Maruyama教授，討論合作研究亞洲造山作用有關事宜</t>
  </si>
  <si>
    <t>108/10/08-108/10/15</t>
  </si>
  <si>
    <t>赴法國University of Nantes、University of Utrecht、巴黎之Institut de Physique du Globe de Paris及瑞士蘇黎世聯邦理工學院進行合作討論</t>
  </si>
  <si>
    <t>108/06/08-108/08/20</t>
  </si>
  <si>
    <t>法國(France) 荷蘭(Netherlands) 瑞士(Switzerland)</t>
  </si>
  <si>
    <t>Nantes Utrecht 巴黎(Paris) 蘇黎世(Zurich)</t>
  </si>
  <si>
    <t>赴越南河內從事野外設置及遷移寬頻地震觀測網地震站儀器</t>
  </si>
  <si>
    <t>108/10/14-108/10/18</t>
  </si>
  <si>
    <t>前往東帝汶進行部會拜訪與全球定位系統站點考察與架設一GPS站並與泗水理工合作者進行合作討論</t>
  </si>
  <si>
    <t>巴里島(Bali Island) 帝力</t>
  </si>
  <si>
    <t>馬尼拉(Manila) 南呂宋地區</t>
  </si>
  <si>
    <t>西太平洋隱沒帶研究: 化解台灣構造上的爭議與探索新課題-西太平洋隱沒帶底部之非均向性與流場 (子計畫三及總計畫)_107-2116-M-001-020-MY3</t>
  </si>
  <si>
    <t>赴日本琉球海域佈放海底地震儀及進行海上研究</t>
  </si>
  <si>
    <t>108/06/17-108/06/27</t>
  </si>
  <si>
    <t>日本九州南部海域</t>
  </si>
  <si>
    <t>參加SMERM國際會議及緬甸其他地區進行海岸地質地形調查</t>
  </si>
  <si>
    <t>參加The Seventh International Workshop on Seismotectonics in Myanmar and Earthquake Risk Management以及海岸地質地形調查</t>
  </si>
  <si>
    <t>至Sekolah tinggi teknologi nasional yogyakarta進行學術交流及探討國際合作相關事宜</t>
  </si>
  <si>
    <t>108/03/11-108/03/15</t>
  </si>
  <si>
    <t>與印尼地理空間資訊局(Geospatial Information Agency (BIG))進行討論合作事宜</t>
  </si>
  <si>
    <t>赴越南從事野外勘站及野外設置寬頻地震觀測網地震站儀器</t>
  </si>
  <si>
    <t>108/03/25-108/03/29</t>
  </si>
  <si>
    <t>西伯利亞古陸阿爾丹地塊前寒武紀地殼與地函之演化：來自Olondo綠岩帶地質、年代學與同位素地球化學的制約_107-2923-M-001-005-MY3</t>
  </si>
  <si>
    <t>赴University of Montpellier及Géosciences Environnement Toulouse研究討論Oman Drilling Project採樣分析結果及赴西班牙參加Goldschmidt 2019會議並發表論文</t>
  </si>
  <si>
    <t>108/08/02-108/09/10</t>
  </si>
  <si>
    <t>西班牙(Spain) 法國(France)</t>
  </si>
  <si>
    <t>巴塞隆納(Barcelona) Montpellier Toulouse</t>
  </si>
  <si>
    <t>P18034_臺德(DE)國合計畫－非揮發性整合記憶體架構之設計與效能最佳化 _MOST-107-2923-E-001-001-MY3_多特蒙大學研究</t>
  </si>
  <si>
    <t>108/07/08-108/10/07</t>
  </si>
  <si>
    <t>dortmund</t>
  </si>
  <si>
    <t>鍵值固態硬碟之高效管理設計_105-2221-E-001-013-MY3</t>
  </si>
  <si>
    <t>E622_鍵值固態硬碟之高效管理設計_MOST105-2221-E-001-013-MY3_赴德國多特蒙德工業大學研究</t>
  </si>
  <si>
    <t>108/06/04-108/07/13</t>
  </si>
  <si>
    <t>Dortmund</t>
  </si>
  <si>
    <t>P19003_具深度理解之對話系統及智慧型輔助學習機器人(2/5~5/5)(2/4)_MOST108-2634-F-001-005_美國University of California, Davis 進行移地研究</t>
  </si>
  <si>
    <t>108/06/22-108/07/23</t>
  </si>
  <si>
    <t>以台英雙邊人員訪問_108-2911-I-001-521_英國愛丁堡大學運動科學系與音樂系參訪</t>
  </si>
  <si>
    <t>S19009_以台英雙邊人員訪問_108-2911-I-001-521_英國愛丁堡大學運動科學系與音樂系參訪</t>
  </si>
  <si>
    <t>赴日本東北大學進行學術討論會</t>
  </si>
  <si>
    <t>108/05/30-108/06/05</t>
  </si>
  <si>
    <t>赴日本室蘭工業大學進行學術討論會並發表演講</t>
  </si>
  <si>
    <t>室蘭</t>
  </si>
  <si>
    <t>探討核輸入蛋白在竹嵌紋病毒感染途徑之角色(1/3)（植生）_107-2313-B-001-008</t>
  </si>
  <si>
    <t>108/05/07-108/05/10</t>
  </si>
  <si>
    <t>吉隆坡(Kuala Lumpur) 檳城(Penang)</t>
  </si>
  <si>
    <t>以英國與台灣的互補資源更進一步了解禾本科光合作用(1/2)(植邢)_108-2911-I-001-511-</t>
  </si>
  <si>
    <t>以英國與台灣的互補資源更進一步了解禾本科光合作用</t>
  </si>
  <si>
    <t>108/11/23-108/12/10</t>
  </si>
  <si>
    <t>劍橋(Cambridge)</t>
  </si>
  <si>
    <t>以海底熱泉為模式生態系探索全球生物變遷與未來海洋-熱泉怪方蟹對酸與硫化物適應調控的細胞機制_MOST108-2621-M-001-003-</t>
  </si>
  <si>
    <t>前往日本鹿兒島大學拜訪安樂和彥教授，討論感覺電生理相關實驗與進行移地研究。</t>
  </si>
  <si>
    <t>108/12/03-108/12/05</t>
  </si>
  <si>
    <t>研究由普立昂胜?纖維引起的普立昂蛋白聚集_106-2923-M-001-003-MY3</t>
  </si>
  <si>
    <t>Go to Latvia Institute of Organic Synthesis to report and discuss the progress of the Taiwan-Latvia-Lithuania cooperation project</t>
  </si>
  <si>
    <t>108/08/13-108/08/24</t>
  </si>
  <si>
    <t>因執行科技部人文行遠專書寫作計畫「毒藥貓理論：人類集體恐懼、猜疑與暴力的社會根源」需要，前往捷克Sumperk、Velké、Losiny、Jesenik及波蘭Glucholazy、Prudnik等地移地研究，進行獵巫事件田野調查及生態地景考察。</t>
  </si>
  <si>
    <t>108/10/04-108/10/19</t>
  </si>
  <si>
    <t>捷克(Czech Republic) 波蘭(Poland)</t>
  </si>
  <si>
    <t>布拉格(Prauge) Jesenik、Velké Losiny、Zdárky等 Glucholazy、Prudnik、Moszna等 Sumperk等</t>
  </si>
  <si>
    <t>尋找多重人格：中村古峽的變態心理研究_107-2410-H-001-008-MY2</t>
  </si>
  <si>
    <t>因執行科技部計畫「尋找多重人格：中村古峽的變態心理研究」需要，前往東京國會圖書館、慶應大學等處進行移地研究及蒐集資料。</t>
  </si>
  <si>
    <t>108/10/13-108/10/26</t>
  </si>
  <si>
    <t>亞洲佛教藝術圖典與知識系統之建構(II-III)-佛教石 造像碑圖文分析知識系統_MOST 106-2420-H-001-019-MY2</t>
  </si>
  <si>
    <t>因執行科技部計畫「亞洲佛教藝術圖典與知識系統之建構(II-III)－佛教石刻造像碑圖文分析知識系統」需要，前往日本大阪市立美術館、奈良國立博物館、姬路市書寫山圓教寺、京都國立博物館等處進行移地研究及蒐集資料。</t>
  </si>
  <si>
    <t>108/11/05-108/11/09</t>
  </si>
  <si>
    <t>大阪(Osaka) 奈良(Nara) 姬路市 京都(Kyoto)</t>
  </si>
  <si>
    <t>西班牙帝國占領北非，1497-1598：殖民、遷徙、以及關係_107-2410-H-001-109-MY3</t>
  </si>
  <si>
    <t>因執行科技部計畫「西班牙帝國占領北非，1497-1598：殖民、遷徙、以及關係」需要，前往法國斯特拉斯堡歷史博物館、摩洛哥卡魯因大學、西班牙休達綜合檔案館、直布羅陀博物館及加州大學洛杉磯分校等處移地研究及蒐集資料。</t>
  </si>
  <si>
    <t>108/09/18-108/10/20</t>
  </si>
  <si>
    <t>法國(France) 摩洛哥(Morocco) 西班牙(Spain) 美國(U.S.A.)</t>
  </si>
  <si>
    <t>斯特拉斯堡(Strasbourg) 費茲(Fes) 舍夫沙萬(Chefchaouen) 休達(Ceuta) 拉利內阿-德拉康塞普西翁(La Linea de la Comcepcion ) 梅利利亞(Melilla) 馬拉加(Malaga) 洛杉磯(Los Angeles,California)</t>
  </si>
  <si>
    <t>亞洲佛教藝術圖典與知識系統之建構(II-III)－中國佛教石窟圖典與知識系統之建構(2/2)_MOST 108-2420-H-001-001</t>
  </si>
  <si>
    <t>為執行科技部補助之「亞洲佛教藝術圖典與知識系統之建構(II-III)－中國佛教石窟圖典與知識系統之建構(2/2)」計畫，奉派前往日本大阪市立美術館、奈良國立博物館等地蒐集研究資料。</t>
  </si>
  <si>
    <t>108/12/04-108/12/07</t>
  </si>
  <si>
    <t>大阪(Osaka) 奈良(Nara)</t>
  </si>
  <si>
    <t>科學出版品的作者：多作者論文的出現_MOST 108-2410-H-001-020-MY2</t>
  </si>
  <si>
    <t>因執行科技部計畫「科學出版品的作者：多作者論文的出現」需要，前往赫爾辛基芬蘭國家圖書館、巴黎法國國家圖書館等地進行移地研究及蒐集資料。</t>
  </si>
  <si>
    <t>108/11/05-108/11/24</t>
  </si>
  <si>
    <t>芬蘭(Finland) 法國(France) 德國(Germany) 奧地利(Austria)</t>
  </si>
  <si>
    <t>赫爾辛基(Helsinki) 巴黎(Paris) Wolfenbüttel 茵斯布魯克(Innsbruck)</t>
  </si>
  <si>
    <t>從比較的視野看魏晉南北朝皇后、皇太后在國家體制中的位置——以五禮為中心的考察_MOST 105-2410-H-001-061-MY2</t>
  </si>
  <si>
    <t>因執行科技部計畫「從比較的視野看魏晉南北朝皇后、皇太后在國家體制中的位置——以五禮為中心的考察」需要，前往日本國立國會圖書圖（東京總館）、京都龍谷大學等處蒐集研究資料。</t>
  </si>
  <si>
    <t>108/07/06-108/07/18</t>
  </si>
  <si>
    <t>因執行科技部人文行遠專書寫作計畫「毒藥貓理論: 人類集體恐懼、猜疑與暴力的社會根源」需要，前往舊金山加州大學柏克萊分校蒐集資料。</t>
  </si>
  <si>
    <t>因執行科技部計畫「從廟堂賢良到賢良廟堂──賢良祠與清代國家祀典的佈建」需要，前往東京國立公文書館、東洋文庫及日本國會圖書館蒐集研究資料。</t>
  </si>
  <si>
    <t>108/07/14-108/07/28</t>
  </si>
  <si>
    <t>因執行科技部「西班牙帝國占領北非，1497-1598：殖民、遷徙、以及關係」計畫需要，前往美國加州大學柏克萊分校、加州大學洛杉磯分校蒐集研究資料，並與當地學者交流。</t>
  </si>
  <si>
    <t>108/06/27-108/07/23</t>
  </si>
  <si>
    <t>柏克萊(Brkeley, California) 洛杉磯(Los Angeles,California)</t>
  </si>
  <si>
    <t>因執行科技部計畫「十八世紀英國的宗教與商業經濟」需要，前往愛丁堡蘇格蘭國家圖書館、倫敦大英圖書館蒐集資料。</t>
  </si>
  <si>
    <t>因執行科技部計畫「發現敦煌之前與之後：世界學術的交會」需要，轉赴哈佛大學蒐集研究資料。</t>
  </si>
  <si>
    <t>因執行科技部補助專題研究計畫「亞洲佛教藝術圖典與知識系統之建構(II-III)－為佛教藝術圖像設計之知識本體及數位研究工具(1/2、2/2)」需要，大英圖書館、維多利亞與亞伯特博物館、博德利圖書館等處蒐集研究所需資料。</t>
  </si>
  <si>
    <t>雅達思，《以器度人：科學、技術與西方支配的意識形態》譯注計畫_106-2410-H-001-086-MY3</t>
  </si>
  <si>
    <t>因執行科技部「雅達思，《以器度人：科學、技術與西方支配的意識形態》譯注計畫」需要，前往倫敦Wellcome圖書館、倫敦大學亞非學院圖書館蒐集資料。</t>
  </si>
  <si>
    <t>108/07/17-108/08/08</t>
  </si>
  <si>
    <t>Philology與比較文化：東方研究的學術史，19-20世紀（計畫編號：108-2911-I-001-510）</t>
  </si>
  <si>
    <t>因執行台法雙邊研究人員交流計畫「Philology與比較文化：東方研究的學術史，19-20世紀」需要，赴巴黎法國國家科學研究院（CRNS）演講並進行學術交流。</t>
  </si>
  <si>
    <t>戰爭、記憶與和解：以當代日本四國遍路的軍事朝聖為例_108-2410-H-001-081-MY2</t>
  </si>
  <si>
    <t>108/11/06-108/11/12</t>
  </si>
  <si>
    <t>赴緬甸進行田野調查，因本計畫之研究對象 故此本次移地研究之田野地變更為緬甸。</t>
  </si>
  <si>
    <t>108/09/14-108/09/28</t>
  </si>
  <si>
    <t>「地方社會的向心與離心：池上平原的多元宗教格局」專書寫作計畫_105-2410-H-001-055-MY3</t>
  </si>
  <si>
    <t>赴美國Oklahoma State蒐集有關族群治理方面資料後，轉往Boston蒐集池上專書撰寫資料，期間並與相關學者討論。</t>
  </si>
  <si>
    <t>108/05/23-108/06/19</t>
  </si>
  <si>
    <t>Oklahoma 波士頓(Boston,Massachuseetts)</t>
  </si>
  <si>
    <t>因執行研究計畫收集資料之需要赴菲律賓田野調查</t>
  </si>
  <si>
    <t>108/06/12-108/06/26</t>
  </si>
  <si>
    <t>赴緬甸進行田野調查</t>
  </si>
  <si>
    <t>108/05/22-108/05/26</t>
  </si>
  <si>
    <t>因收集研究計畫資料之需要赴菲律賓田野調查</t>
  </si>
  <si>
    <t>108/05/20-108/06/03</t>
  </si>
  <si>
    <t>帝國日本與「滿洲」殖民：調查．人流．地方認識-非正式帝國的地方基礎：滿洲國大同學院之活動及其變遷_107-2410-H-001-016-MY2</t>
  </si>
  <si>
    <t>執行「非正式帝國的地方基礎：滿洲國大同學院之活動及其變遷」專題研究計畫，前往東京國立國會圖書館、拓殖大學圖書館搜集資料。</t>
  </si>
  <si>
    <t>中國大陸(China) 日本(Japan)</t>
  </si>
  <si>
    <t>長春(Changchun) 東京(Tokyo)</t>
  </si>
  <si>
    <t>為執行科技部有關嚴復蕃一天演論對宗教界之衝擊計畫，擬赴華盛頓大學與史丹佛大學調閱西方學界對於赫胥黎思想之研究，以及歐洲漢學界的佛教經典翻譯對赫胥黎思想之影響。</t>
  </si>
  <si>
    <t>108/08/03-108/08/21</t>
  </si>
  <si>
    <t>舊金山(San Francisco,California) 西雅圖(Seattle,Washington) 帕洛阿爾托(Palo Alto,California)</t>
  </si>
  <si>
    <t>受邀參加 Peabody Essex Museum 所舉辦的「Art Between China, Europe and the United States: Researching the van Braam Collection of Chinese Art」workshop，擬提前一天到達，於Peabody Essex Museum 提件參觀，並於會後赴紐約三天，收集資料。</t>
  </si>
  <si>
    <t>108/11/11-108/11/19</t>
  </si>
  <si>
    <t>波士頓(Boston,Massachuseetts) 紐約市(New York,New York)</t>
  </si>
  <si>
    <t>蒸汽航運與十九世紀東亞的能源轉型_108-2410-H-001-025-</t>
  </si>
  <si>
    <t>科技部專題計畫「蒸汽航運與十九世紀東亞的能源轉型」，計畫主持人赴倫敦格林威治海事博物館附設之卡爾德圖書與檔案館(The Caird Library and Archive)、國家檔案館(National Archives)等地收集相關檔案。</t>
  </si>
  <si>
    <t>108/10/07-108/12/07</t>
  </si>
  <si>
    <t>並趁此赴歐機會，提前三天出發，同時赴德國Dresden收集資料執行科技部計畫「北京、廣東與宮廷：十八世紀中國花鳥畫、本草圖與西式植物圖繪的交會」。</t>
  </si>
  <si>
    <t>赴Florence 參加The 35th CIHA World Congress （9/1-9/6），發表「The Literati Baimiao Tradition Encountering European Drawings at the Qianlong Court of the 18th Century」。會後並擬留下來四天，進行研究資料收集工作。</t>
  </si>
  <si>
    <t>受到韓國 Lee&amp;Won Foundation 邀請，前往韓國國立博物館（National Museum of Korea）演講_x0008_，講題為「全球圖像流動下的視覺統治：以十八世紀的清朝宮廷為例」。基金會安排三天行程，會後擬留下三天，進行研究資料收集工作，所需經費擬使用科技部計畫原訂赴大陸收集資料之部分經費。科技部計畫第一年的移地研究本規劃為大陸地區，也請准予部分變更為韓國，以支付經費不足之處。</t>
  </si>
  <si>
    <t>108/09/19-108/09/24</t>
  </si>
  <si>
    <t>科技部計畫-"國家政經制度因素對經濟政策制定的影響:理論與實證"，受Washington University in St. Louis邀請，9/26-10/18赴美國與王平教授及Raymond Riezman教授等相關學者進行合作研究與學術交流。</t>
  </si>
  <si>
    <t>108/09/26-108/10/18</t>
  </si>
  <si>
    <t>St. Louis(聖路易斯)</t>
  </si>
  <si>
    <t>人力資本及公共政策之因果分析_105-2410-H-001-004-MY3</t>
  </si>
  <si>
    <t>由新加坡國立大學邀請，赴該校訪問及學術交流</t>
  </si>
  <si>
    <t>108/07/19-108/07/25</t>
  </si>
  <si>
    <t>交通網絡對移民，貿易及經濟增長的影響_108-2410-H-001-037-MY3</t>
  </si>
  <si>
    <t>108年11月7日至11月24日赴紐西蘭威靈頓即奧克蘭之移地研究行程，分別與學者Yao Yao, Haiping Zhang 進行計畫相關之研究討論(總體經濟學及國際經濟學等領域)。</t>
  </si>
  <si>
    <t>108/11/07-108/11/24</t>
  </si>
  <si>
    <t>行為法則的演化、突變與均衡選擇：邁向效率及平等_107-2410-H-001-025-</t>
  </si>
  <si>
    <t>前往國立新加坡大學經濟系訪問，並與該系羅曉教授商討近期賽局理論相關議題及可能的合作研究計畫。</t>
  </si>
  <si>
    <t>108/11/07-108/11/12</t>
  </si>
  <si>
    <t>赴加拿大卡爾加利大學與Kyoung Jin Choi教授進行學術交流並撰寫研究計畫下相關論文。</t>
  </si>
  <si>
    <t>由The University of Melbourne邀請赴該校訪問、演講與學術交流</t>
  </si>
  <si>
    <t>108/11/05-108/11/18</t>
  </si>
  <si>
    <t>美國有機正念三帖：安康、敬天、福德_108-2628-H-001-001-MY3</t>
  </si>
  <si>
    <t>美國有機正念三帖：安康、敬天、福德</t>
  </si>
  <si>
    <t>City of West Lafayette 芝加哥(Chicago,Illinois)</t>
  </si>
  <si>
    <t>赴美國洛杉磯執行 A global study of living arrangement and health expectancy 科技部研究計畫之移地研究</t>
  </si>
  <si>
    <t>108/06/20-108/07/24</t>
  </si>
  <si>
    <t>赴加拿大渥太華執行移地研究（5月20至23日）</t>
  </si>
  <si>
    <t>執行科技部研究計畫美國有機農業與1970年代反文化運動赴英國倫敦Wellcome Library of Medicine 移地研究</t>
  </si>
  <si>
    <t>108/09/06-108/09/15</t>
  </si>
  <si>
    <t>Leeds 倫敦(London)</t>
  </si>
  <si>
    <t>執行科技部計畫，前往英國移地研究</t>
  </si>
  <si>
    <t>108/07/17-108/07/31</t>
  </si>
  <si>
    <t>帝國中的法律: 轉譯與踰越_107-2410-H-001-037-MY2</t>
  </si>
  <si>
    <t>執行科技部計畫【帝國中的法律: 轉譯與踰越】（計畫編號：MOST 107-2410-H-001-037 -MY2）赴英國移地研究</t>
  </si>
  <si>
    <t>108/08/05-108/08/25</t>
  </si>
  <si>
    <t>多變量函數資料的逆迴歸分析_105-2118-M-001-001-MY3</t>
  </si>
  <si>
    <t>接受Australian National University(澳大利亞國立大學) Professor Han Lin Shang 邀請前往移地研究,並討論有關 functional time series 的合作計畫.</t>
  </si>
  <si>
    <t>108/11/27-108/12/09</t>
  </si>
  <si>
    <t>受邀前往美國出席Wufest,ICODOE 2019和SRC 2019等會議並於會中發表演講,及受邀前往Athens, Univ. of Georgia、Blacksburg, Virginia Polytechnic Institute,State Univ.和Los Angeles訪問Univ. of California-LA等地順道移地研究,並發表演講.</t>
  </si>
  <si>
    <t>108/05/08-108/06/02</t>
  </si>
  <si>
    <t>亞特蘭大(Atlanta,Georgia) Athens, Georgia 曼斐斯(Memphis,Tennessee) Blacksburg, Virginia 洛杉磯(Los Angeles,California)</t>
  </si>
  <si>
    <t>MOST107-2118-M-001-011-MY 3分攤移地研究48,062元、本院農生中 心MOST107-2321-B-001-038-擔 任共同主持人，分攤會議122,316元。</t>
  </si>
  <si>
    <t>赴義大利The School of Engineering, University of Bergamo進行移地研究，並與Alessandro Fasso教授進行合作交流。</t>
  </si>
  <si>
    <t>108/10/15-108/11/16</t>
  </si>
  <si>
    <t>Bergamo</t>
  </si>
  <si>
    <t>受邀移地研究前往新加坡National University of Singapore訪問和出席Research Metrics Workshop並於會中發表演講</t>
  </si>
  <si>
    <t>108/11/14-108/11/17</t>
  </si>
  <si>
    <t>組合結構上的非正規漸近分析_105-2923-E-001-001-MY4</t>
  </si>
  <si>
    <t>赴法國University of Caen Normandy進行移地研究</t>
  </si>
  <si>
    <t>Caen</t>
  </si>
  <si>
    <t>赴法國參加台法與台奧合作計畫下之年度討論會，並順道進行移地研究</t>
  </si>
  <si>
    <t>108/08/28-108/09/24</t>
  </si>
  <si>
    <t>Caen 巴黎(Paris)</t>
  </si>
  <si>
    <t>潘建興─臺英雙邊人員訪問（愛丁堡）計畫(108.8.25-9.21) 108-2911-I-001-519</t>
  </si>
  <si>
    <t>潘建興─臺英雙邊人員訪問計畫(108.8.25-9.21) (科技部與英國愛丁堡皇家學會RSE雙邊訪問計畫)108-2911-I-001-519；受邀前往英國Edinburgh研究訪問Heriot-Watt University和在所上發表演講, 前往義大利Rome出席ISSI 2019和在會中發表演講, 前往比利時Leuven研究訪問KU Leuven和在所上發表演講.</t>
  </si>
  <si>
    <t>108/08/27-108/09/14</t>
  </si>
  <si>
    <t>義大利(Italy) 比利時(Belgium) 英國(United Kingdom)</t>
  </si>
  <si>
    <t>羅馬(Rome) 布魯塞爾(Brussels) 愛丁堡(Edinburgh)</t>
  </si>
  <si>
    <t>前往美國合作實驗室Dr. Chien-Te Tseng, UTMB(the University of Texas Medical Branch at Galveston) 從事國際合作及移地研究</t>
  </si>
  <si>
    <t>108/09/29-108/10/22</t>
  </si>
  <si>
    <t>加爾維斯敦(Galveston)</t>
  </si>
  <si>
    <t>胰島與胰島管藉由pH敏感型雙孔鉀離子通道TALK1的生理交互作用探討_107-2923-B-001-001-MY3</t>
  </si>
  <si>
    <t>為執行本所助研究員楊世斌科技部台奧雙邊國合計畫，前往奧地利維也納大學Dr. Marjan Slak Pupnik研究室移地研究</t>
  </si>
  <si>
    <t>108/10/26-108/12/09</t>
  </si>
  <si>
    <t>超極化仲氫分子在活體核磁共振光譜暨成像之應用研究_MOST108-2923-M-001-007-MY3</t>
  </si>
  <si>
    <t>日前往澳洲Queensland Brain Institute and Centre for Advanced Imaging, the University of Queenslan, Kai-Hsiang Chung實驗室移地研究。</t>
  </si>
  <si>
    <t>108/11/05-108/11/15</t>
  </si>
  <si>
    <t>前往澳洲Queensland Brain Institute and Centre for Advanced Imaging, the University of Queenslan, Kai-Hsiang Chung實驗室移地研究。</t>
  </si>
  <si>
    <t>前往韓國 CAU 大學進行訪問交流</t>
  </si>
  <si>
    <t>第21屆台法科技獎</t>
  </si>
  <si>
    <t>出席第21屆台法科技獎領獎</t>
  </si>
  <si>
    <t>108/11/24-108/12/01</t>
  </si>
  <si>
    <t>到GFDL進行研究發展 fvGFS 巢狀網格模式</t>
  </si>
  <si>
    <t>普林斯頓</t>
  </si>
  <si>
    <t>6/16-17前往馬來西亞Terengganu大學，與該校海洋與環境科學系Dr. Chun Hong Tan學術交流及討論</t>
  </si>
  <si>
    <t>前往日本熊本縣天草市，與日本九州大學理學部附屬天草臨海實驗所的研究員Dr. Seiji Arakaki合作，在天草臨海實驗所附近海域進行野外調查，調查海膽－藻類－珊瑚三者之間的交互作用及採樣</t>
  </si>
  <si>
    <t>108/07/22-108/07/29</t>
  </si>
  <si>
    <t>熊本縣天草市</t>
  </si>
  <si>
    <t>氣候變遷下的生物脆弱度研究：季節生態區位改變與地區適應_108-2314-B-001-009-MY3</t>
  </si>
  <si>
    <t>前往日本沖繩縣國頭村進行野外埋葬蟲採樣調查研究</t>
  </si>
  <si>
    <t>囊胸下綱（甲殼亞門：鞘甲亞綱）珊瑚或棘皮動物之寄生生物 - 首次以型態及分子生物學探討親緣關係及寄生之進化_106-2923-B-001-002-MY3</t>
  </si>
  <si>
    <t>前往俄羅斯白海工作站及莫斯科大學進行研究合作.</t>
  </si>
  <si>
    <t>108/09/21-108/09/30</t>
  </si>
  <si>
    <t>白海工作站 莫斯科(Moscow)</t>
  </si>
  <si>
    <t>稻熱病病原菌的基因體及演化的研究</t>
  </si>
  <si>
    <t>本計畫是有關稻熱病病原菌的基因體及演化的研究，與Kobe University 的三位教授Hitoshi Nakayashiki, Izumi Chuma及Yukio Tosa合作，因為他們是此行的專家，又有菌種，我的實驗室負責定序與分析。此次見面將談接下來此計畫如何往下進行。</t>
  </si>
  <si>
    <t>108/01/05-108/01/09</t>
  </si>
  <si>
    <t>間奏曲：華語語系表述的前沿地帶_107-2410-H-001-114-MY2</t>
  </si>
  <si>
    <t>赴美國加州柏克萊大學（舊金山）研究，並赴韓國首爾大學訪問交流。</t>
  </si>
  <si>
    <t>108/07/16-108/08/25</t>
  </si>
  <si>
    <t>美國(U.S.A.) 南韓(Korea)</t>
  </si>
  <si>
    <t>舊金山(San Francisco,California) 首爾(Seoul)</t>
  </si>
  <si>
    <t>原奉准於3/20至7/31赴德國法蘭克福歌德大學研究及講學（帶職帶薪）,並擔任客座研究員。</t>
  </si>
  <si>
    <t>108/02/07-108/07/31</t>
  </si>
  <si>
    <t>法蘭克福(Frankfurt)</t>
  </si>
  <si>
    <t>現當代華文與俄文詩歌語言中的平行研究_105-2923-H-001-001-MY3</t>
  </si>
  <si>
    <t>赴德國特里爾大學訪問研究,蒐集資料。</t>
  </si>
  <si>
    <t>108/06/06-108/08/30</t>
  </si>
  <si>
    <t>Trier</t>
  </si>
  <si>
    <t>申請人奉准自108.8.1至109.7.31帶職帶薪赴美國哈佛大學訪問研究。茲因執行科技部專題研究計畫需要，擬自哈佛大學前往英國倫敦蒐集資料。</t>
  </si>
  <si>
    <t>知無涯：近世中國的士人活動與知識建構-童子與靈猴：宋元明求法敘事的文圖媒介與知識感覺_108-2410-H-001-023-MY2</t>
  </si>
  <si>
    <t>赴日本東京、京都蒐集資料。</t>
  </si>
  <si>
    <t>108/11/02-108/11/09</t>
  </si>
  <si>
    <t>牟宗三的坎陷說_MOST 105-2410-H-001-077-MY2</t>
  </si>
  <si>
    <t>赴日本京都、東京蒐集資料。</t>
  </si>
  <si>
    <t>京都(Kyoto) 東京(Tokyo)</t>
  </si>
  <si>
    <t>近世初期日本僧詩中的自我與世界_107-2410-H-001-094-MY3</t>
  </si>
  <si>
    <t>赴日本福岡蒐集資料。</t>
  </si>
  <si>
    <t>108/07/09-108/07/12</t>
  </si>
  <si>
    <t>為協助執行科技部專題研究計畫需要,計畫研究生助理赴日本東京蒐集資料。</t>
  </si>
  <si>
    <t>108/05/29-108/06/03</t>
  </si>
  <si>
    <t>知識、文學技藝與歷史感性：「靖難」視野下的中國與海外_105-2628-H-001-006-MY3</t>
  </si>
  <si>
    <t>赴美國波士頓哈佛大學蒐集資料。</t>
  </si>
  <si>
    <t>108/06/13-108/07/08</t>
  </si>
  <si>
    <t>追憶與交通：六朝冥感敘述研究與數位文本標記_106-2410-H-001-098-MY3</t>
  </si>
  <si>
    <t>赴美國亞利桑納州立大學（鳳凰城）參加國際學術會議,發表論文,並赴紐約訪問研究,進行學術交流。</t>
  </si>
  <si>
    <t>108/04/11-108/05/24</t>
  </si>
  <si>
    <t>鳳凰城(Phoenix,Arizona) 紐約市(New York,New York)</t>
  </si>
  <si>
    <t>赴馬來西亞吉隆坡多媒體大學、拉曼大學、馬來西亞國家太空局及檳城圓頂科技館(Tech Dome Penang)、馬來西亞理科大學進行學術交流，並赴馬來亞大學及馬來西亞國立大學進行計畫相關學術研究。</t>
  </si>
  <si>
    <t>108/07/26-108/08/08</t>
  </si>
  <si>
    <t>赴格陵蘭圖勒空軍基地(Thule Air Base)執行格陵蘭望遠鏡(GLT)暖通空調及輻射計等儀器配置事宜。</t>
  </si>
  <si>
    <t>108/06/04-108/06/24</t>
  </si>
  <si>
    <t>赴日本東京大學柏市(Kashiwa)校區之Kavli IPMU機構進行計畫相關學術研究。</t>
  </si>
  <si>
    <t>108/07/05-108/08/02</t>
  </si>
  <si>
    <t>柏市(Kashiwa)</t>
  </si>
  <si>
    <t>赴美國亞特蘭大及加州大學聖塔芭芭分校拉凱維里理論物理研究所(KITP)進行計畫相關學術研討。</t>
  </si>
  <si>
    <t>108/06/16-108/06/24</t>
  </si>
  <si>
    <t>亞特蘭大(Atlanta,Georgia) 聖塔芭芭拉(Santa Barbara, California)</t>
  </si>
  <si>
    <t>108/04/01-108/05/31</t>
  </si>
  <si>
    <t>赴美國劍橋史密松天文台(SAO)進行計畫相關學術交流，以利發展在臺研究計畫發展進度。</t>
  </si>
  <si>
    <t>108/06/13-108/06/23</t>
  </si>
  <si>
    <t>赴希臘克里特島干尼亞(Chania)參與研討會議，進行計畫相關學術研討。</t>
  </si>
  <si>
    <t>108/05/30-108/06/12</t>
  </si>
  <si>
    <t>赴格陵蘭圖勒空軍基地(Thule Air Base)執行格陵蘭望遠鏡(GLT)暖通空調等儀器配置及維護事宜。</t>
  </si>
  <si>
    <t>赴德國柏林馬克斯普朗克學會進行事件視界望遠鏡計畫(EHT)研究進度研討，並報告本所在臺研究計畫發展近況。</t>
  </si>
  <si>
    <t>108/07/07-108/07/10</t>
  </si>
  <si>
    <t>赴加拿大維多利亞NRC Herzberg Institute of Astrophysics參與Cycle 7 ALMA P2G f2f meeting，進行計畫相關學術研討。</t>
  </si>
  <si>
    <t>108/07/08-108/07/14</t>
  </si>
  <si>
    <t>維多利亞(Victoria)(05/01-10/15)</t>
  </si>
  <si>
    <t>赴荷蘭萊頓大學(Leiden university)進行計畫相關學術交流，以利發展在臺研究計畫發展近況。</t>
  </si>
  <si>
    <t>108/06/24-108/06/28</t>
  </si>
  <si>
    <t>萊頓(Leiden)</t>
  </si>
  <si>
    <t>受邀赴瑞典斯德哥爾摩北歐理論物理研究所(NORDITA)參與研討會議，進行計畫相關學術研討。</t>
  </si>
  <si>
    <t>108/06/01-108/06/30</t>
  </si>
  <si>
    <t>赴加拿大維多利亞大學進行阿塔卡瑪大型毫米及次毫米波陣列(ALMA)及MaNGA計畫相關學術研究。</t>
  </si>
  <si>
    <t>赴美國薛倫斯維爾(Charlottesville)美國國家電波天文台(NRAO)及亞特蘭大進行計畫相關學術研討。</t>
  </si>
  <si>
    <t>薛倫斯維爾(Charlottesville) 亞特蘭大(Atlanta,Georgia)</t>
  </si>
  <si>
    <t>赴美國劍橋史密松天文台(SAO)進行計畫相關學術交流，以利發展在臺研究計畫發展進度，並赴美國夏威夷希羅島(Hilo)訪視JCMT望遠鏡相關運轉情形。</t>
  </si>
  <si>
    <t>108/07/14-108/08/09</t>
  </si>
  <si>
    <t>劍橋(Cambridge,Massachusetts) 夏威夷州(State of Hawaii)</t>
  </si>
  <si>
    <t>超大質量黑洞研究(1/2)_108-2112-M-001-016-</t>
  </si>
  <si>
    <t>赴印度邦加羅爾Indian Institute of Astrophysics進行計畫相關學術交流，以利發展在臺研究計畫進度。</t>
  </si>
  <si>
    <t>108/10/27-108/10/30</t>
  </si>
  <si>
    <t>赴美國新墨西哥州索科羅(Socorro)美國國家電波天文台(NRAO)參與CARTA Development Face to Face Meeting，並於會後進行計畫相關學術研討，以利發展在臺研究計畫進度。</t>
  </si>
  <si>
    <t>108/11/11-108/11/26</t>
  </si>
  <si>
    <t>索科羅(Socorro)</t>
  </si>
  <si>
    <t>赴美國新墨西哥州索科羅(Socorro)美國國家電波天文台(NRAO)參與CARTA Development Face to Face Meeting，進行計畫相關學術研討，以利發展在臺研究計畫進度。</t>
  </si>
  <si>
    <t>108/11/10-108/11/18</t>
  </si>
  <si>
    <t>赴德國加興歐洲南方天文台(ESO)進行計畫相關學術研究，以利發展在臺研究計畫進度。</t>
  </si>
  <si>
    <t>108/10/12-108/10/28</t>
  </si>
  <si>
    <t>赴美國紐約哥倫比亞大學進行Prime Focus Spectroscopy(PFS)計畫相關學術研究，並赴Flatiron Institute計算天文物理中心進行學術交流。</t>
  </si>
  <si>
    <t>速霸陸主焦點光譜儀Cobra模組測試_SUB10703</t>
  </si>
  <si>
    <t>赴美國夏威夷希羅島速霸陸望遠鏡(Subaru Telescope)進行Prime Focus Spectroscopy(PFS)計畫光纖定位相機系統運轉測試相關事宜。</t>
  </si>
  <si>
    <t>108/08/04-108/08/31</t>
  </si>
  <si>
    <t>速霸陸主焦點光譜儀光纖定位系統色差修正鏡片設計_SUB10701</t>
  </si>
  <si>
    <t>赴荷蘭格羅寧根(Groningen)參與Astronomical Data Analysis Software &amp; Systems (ADASS)研討會議，進行計畫相關學術交流。</t>
  </si>
  <si>
    <t>格羅寧根(Groningen)</t>
  </si>
  <si>
    <t>赴格陵蘭圖勒空軍基地(Thule Air Base)協助執行格陵蘭望遠鏡天線除冰控制系統溫度量測計安裝與測試及天線轉動機構維護。</t>
  </si>
  <si>
    <t>108/08/27-108/09/17</t>
  </si>
  <si>
    <t>赴格陵蘭(Greenland)圖勒空軍基地(Thule Air Base)協助執行格陵蘭望遠鏡天線除冰控制系統溫度量測計安裝與測試及天線轉動機構維護。</t>
  </si>
  <si>
    <t>星際塵埃的演化及其觀測表現_107-2923-M-001-003-MY3</t>
  </si>
  <si>
    <t>赴俄羅斯聖彼得堡大學進行學術研究，並出席會議、發表論文。</t>
  </si>
  <si>
    <t>108/09/10-108/09/23</t>
  </si>
  <si>
    <t>聖彼得堡(Saint. Petersburg)(05/01-10/31)</t>
  </si>
  <si>
    <t>赴美國夏威夷希羅島執行JCMT望遠鏡儀器配置等事宜，後赴格陵蘭圖勒空軍基地(Thule Air Base)執行格陵蘭望遠鏡儀器安裝及校準等相關工作。</t>
  </si>
  <si>
    <t>108/07/24-108/09/16</t>
  </si>
  <si>
    <t>美國(U.S.A.) 格陵蘭(Greenland)</t>
  </si>
  <si>
    <t>夏威夷州(State of Hawaii) 格陵蘭(Greenland)</t>
  </si>
  <si>
    <t>赴日本東京大學柏市(Kashiwa)校區之Kavli IPMU機構參與研討會議，並進行計畫相關學術研究。</t>
  </si>
  <si>
    <t>108/05/31-108/06/11</t>
  </si>
  <si>
    <t>赴日本琦玉縣和光市理化學研究所(RIKEN)進行計畫相關學術研究。</t>
  </si>
  <si>
    <t>108/05/19-108/06/01</t>
  </si>
  <si>
    <t>琦玉(Saitama)</t>
  </si>
  <si>
    <t>赴俄羅斯莫斯科俄羅斯科學院及聖彼得堡國立大學進行星際塵埃的演化及其觀測表現研究計畫相關學術研究。</t>
  </si>
  <si>
    <t>108/05/25-108/06/11</t>
  </si>
  <si>
    <t>莫斯科(Moscow) 聖彼得堡(Saint. Petersburg)(05/01-10/31)</t>
  </si>
  <si>
    <t>108/05/21-108/05/25</t>
  </si>
  <si>
    <t>赴格陵蘭(Greenland)圖勒空軍基地(Thule Air Base)協助執行格陵蘭望遠鏡天線除冰控制系統組裝及整合測試。</t>
  </si>
  <si>
    <t>108/03/11-108/04/09</t>
  </si>
  <si>
    <t>赴格陵蘭圖勒空軍基地(Thule Air Base)進行格陵蘭望遠鏡(GLT)計畫相關觀測事宜。</t>
  </si>
  <si>
    <t>108/03/25-108/04/17</t>
  </si>
  <si>
    <t>108/03/11-108/04/16</t>
  </si>
  <si>
    <t>赴日本廣島大學及東京早稻田大學進行計畫相關學術研究。</t>
  </si>
  <si>
    <t>108/08/15-108/08/22</t>
  </si>
  <si>
    <t>廣島(Hiroshima) 東京(Tokyo)</t>
  </si>
  <si>
    <t>108/08/04-108/08/19</t>
  </si>
  <si>
    <t>赴美國劍橋哈佛-史密松天體物理中心(Harvard-Smithsonian Center for Astrophysics,CfA)出席2019 CASPER Workshop &amp; PIRE DSP School研討會議，進行學術交流。</t>
  </si>
  <si>
    <t>108/08/10-108/08/19</t>
  </si>
  <si>
    <t>赴巴西聖保羅(the Institute for Astronomy, Geophysics and Atmospheric Sciences at the University of São Paulo in São Paulo)參與學術研討。</t>
  </si>
  <si>
    <t>108/07/27-108/08/10</t>
  </si>
  <si>
    <t>巴西(Brazil)</t>
  </si>
  <si>
    <t>聖保羅(Sao Paulo)</t>
  </si>
  <si>
    <t>赴美國夏威夷希羅島(Hilo)毛納基峰使用JCMT望遠鏡進行計畫相關觀測研究事宜。</t>
  </si>
  <si>
    <t>108/09/03-108/09/14</t>
  </si>
  <si>
    <t>赴格陵蘭圖勒空軍基地(Thule Air Base)執行格陵蘭望遠鏡儀器安裝配置及校準等相關工作。</t>
  </si>
  <si>
    <t>108/08/13-108/09/09</t>
  </si>
  <si>
    <t>赴格陵蘭圖勒空軍基地(Thule Air Base)執行格陵蘭望遠鏡天線除冰控制系統溫度量測計安裝與測試。</t>
  </si>
  <si>
    <t>日治時期臺灣民眾食物消費結構的發展、變遷及其與日本、朝鮮、中國福建的比較_105-2410-H-001-066-MY3</t>
  </si>
  <si>
    <t>為執行科技部計畫，將前往德國哥廷根大學東亞學系及現代東亞研究中心進行訪問研究及相關研究資料的蒐集。</t>
  </si>
  <si>
    <t>108/07/01-108/08/16</t>
  </si>
  <si>
    <t>哥廷根(Gottingen)</t>
  </si>
  <si>
    <t>戰後臺灣的對日情感與族群的文化認同：以被「追認」的臺灣民謠與臺灣演歌為視角_107-2410-H-001-091-</t>
  </si>
  <si>
    <t>為執行科技部專題研究計畫「戰後臺灣的對日情感與族群的文化認同：以被『追認』的臺灣民謠與臺灣演歌視為視角」需要，赴日本東京早稻田大學圖書館、神田古書街等地蒐集研究相關資料。</t>
  </si>
  <si>
    <t>108/06/18-108/06/22</t>
  </si>
  <si>
    <t>唐人與Selden map的繪製──十六、十七世紀之際東亞海域史研究_107-2410-H-001-036-MY3</t>
  </si>
  <si>
    <t>為執行科技部專題研究計畫「唐人與Selden map的繪製－－十六、十七世紀之際東亞海域史研究（MOST 107-2410-H-001-036 MY3)」所需，前往日本大阪杏林書屋調閱所藏珍貴圖書「新鍥天下備覽文林類記萬萃寶」文書。</t>
  </si>
  <si>
    <t>108/10/10-108/10/15</t>
  </si>
  <si>
    <t>帝國日本與「滿洲」殖民：調查．人流．地方認識-帝國日本的「科學」殖民：滿洲治理與社會調查活動（1907-1931）_107-2410-H-001-012-MY2</t>
  </si>
  <si>
    <t>為執行科技部專題研究計畫「帝國日本的『科學』殖民：滿洲治理與社會調查活動（1907-1931）」（MOST 107-2410-H-001-012 MY2)及個人研究需要，計畫前往日本東京外交史料館、國立公文書館亞細亞歷史資料中心、東京大學圖書館等機構，蒐集日本帝國與滿洲治理相關的社會調查資料以及日本有關滿洲統治歷史的研究成果。</t>
  </si>
  <si>
    <t>108/11/20-108/11/29</t>
  </si>
  <si>
    <t>荷蘭時代熱蘭遮市鎮唐人市民的生活1643-1662_MOST106-2410-H-001-062-MY2</t>
  </si>
  <si>
    <t>108/07/07-108/07/21</t>
  </si>
  <si>
    <t>阿姆斯特丹(Amsterdam) 海牙(Hague,the)</t>
  </si>
  <si>
    <t>為執行計畫所需，前往馬來西亞檳城，進行邱公司、郊九八行、會館、公所、宗祠故居、歷史街區、寺廟等及僑生博物館、歷史博物館等地點田野考察。</t>
  </si>
  <si>
    <t>108/07/15-108/07/19</t>
  </si>
  <si>
    <t>檳城(Penang)</t>
  </si>
  <si>
    <t>「吊燈裡的巨蟒:中國因素作用力與反作用力」日文版翻譯出版計畫_（陸聯字第1070051398號函）</t>
  </si>
  <si>
    <t>赴日進行研究訪談、參與新書發表研討會、洽談著作翻譯為日文之業務。</t>
  </si>
  <si>
    <t>108/05/19-108/05/25</t>
  </si>
  <si>
    <t>搜尋政治力位移的因素：社經條件變遷、政治抗爭週期、民意變動趨勢，台灣2000-2016年_106-2410-H-001-058-MY2</t>
  </si>
  <si>
    <t>108/11/20-108/11/28</t>
  </si>
  <si>
    <t>因研究需要，3/20-26由波士頓赴丹佛蒐集資料，所需費用除哈佛燕京學社補助美金650元外，餘由個人主持之科技部計畫支應。</t>
  </si>
  <si>
    <t>108/03/20-108/03/26</t>
  </si>
  <si>
    <t>到日本東京進行田野訪談。訪談主題：中國因素在日本的狀況，美中貿易戰對日本影響等。計畫名稱：616008　搜尋政治力位移的因素：社經條件變遷、政治抗爭週期、民意變動趨勢，台灣2000-2016年；618010　中國影響力運作機制及其效應：比較台灣、南韓、馬來西亞、與澳洲。</t>
  </si>
  <si>
    <t>108/10/18-108/10/25</t>
  </si>
  <si>
    <t>中國影響力運作機制及其效應：比較台灣、南韓、馬來西亞、與澳洲_108-2410-H-001-093-MY2</t>
  </si>
  <si>
    <t>108年度人文及社會科學學術人才跨國培育計畫_108.03.25臺教資（一）字第10800335</t>
  </si>
  <si>
    <t>赴美國哈佛大學、MIT、NYU，執行教育部「人文社會科學學術人才跨國培育計畫」，訪問未來本案合作學校（7/30 - 8/3；8/8）</t>
  </si>
  <si>
    <t>赴美國哈佛大學與研究計畫合作者王裕華（哈佛政府系助理教授）、雷雅雯（哈佛社會系助理教授）共同討論研究計畫、分析資料、寫作研究論文（8/4 - 8/7；8/13 - 8/18）；</t>
  </si>
  <si>
    <t>拒絕醫學徵召：台灣原住民的生物政治公民權與認同政治_106-2410-H-001-054-MY3</t>
  </si>
  <si>
    <t>8/31-9/3至美國加州大學聖地牙哥分校，拜訪本所的學術諮詢委員會委員—Richard Madsen社會學教授，以及進行學術討論研究。</t>
  </si>
  <si>
    <t>108/08/31-108/09/10</t>
  </si>
  <si>
    <t>紐奧良(New Orleans, Louisiana) 聖地牙哥(San Diego,California)</t>
  </si>
  <si>
    <t>近現代蒙古語文獻語料庫建置暨詞法語法歷時研究( II)_107-2410-H-001-070-</t>
  </si>
  <si>
    <t>訪問蒙古國科學院語文研究所暨資料收集</t>
  </si>
  <si>
    <t>108/07/10-108/08/03</t>
  </si>
  <si>
    <t>烏蘭巴托(Ulaanbaatar)</t>
  </si>
  <si>
    <t>仿真語音之語境於響度感知上的效應_107-2410-H-001-066-</t>
  </si>
  <si>
    <t>移地研究</t>
  </si>
  <si>
    <t>108/06/17-108/08/28</t>
  </si>
  <si>
    <t>East Lansing</t>
  </si>
  <si>
    <t>結合語料庫與計算語言學之自發性中文語音變異研究_MOST106-2410-H-001-045-MY2</t>
  </si>
  <si>
    <t>至National Institute for Japanese Language and Linguistics, NINJAL Tokyo,Japan移地研究</t>
  </si>
  <si>
    <t>科技部計畫「以結構為基礎對抗糖尿病的PDIA4抑制劑CPD15優化」該計畫主要目的是為了發展新型的糖尿病小分子藥物，有別於傳統的糖尿病藥物治療途徑，CPD15主要以保護胰島細胞，維護胰島細胞功能來達到治療糖尿病的目標。</t>
  </si>
  <si>
    <t>研發植生素作為腸道菌相調節劑</t>
  </si>
  <si>
    <t>此為大型學術研討會，包括許多symposia、mini-symposia與poster presentations，其議題與研究相關。該研討會之學術地位及重要性在植物學界均佔龍頭地位。許多植物學者都會前往參與，是學術交流以及汲取新知的極佳機會。</t>
  </si>
  <si>
    <t>108/03/14-108/03/16</t>
  </si>
  <si>
    <t>赴以色列耶路沙冷希伯萊大學Fritz Haber Center for Molecular Dynamics, Institute of Chemistry，及魏茨曼科學研究所之化學學院(Weizmann Institute of Science, Faculty of Chemistry, Rehovot, Israel)進行合作研究。</t>
  </si>
  <si>
    <t>108/04/26-108/05/17</t>
  </si>
  <si>
    <t>耶路撒冷(Jerusalem) 以色列(Israel)</t>
  </si>
  <si>
    <t>耶路撒冷(Jerusalem) Rehovot</t>
  </si>
  <si>
    <t>有機奈米精準醫學平台:快?t分離循環腫瘤細胞與個人?蘆姪z選(2/3)_107-2119-M-001-007-</t>
  </si>
  <si>
    <t>到神戶理化研究所討論合作事宜</t>
  </si>
  <si>
    <t>108/08/26-108/08/30</t>
  </si>
  <si>
    <t>至Stanford材料系的Mark L. Brongersma進行移地研究</t>
  </si>
  <si>
    <t>108/08/14-108/09/04</t>
  </si>
  <si>
    <t>帕洛阿爾托(Palo Alto,California)</t>
  </si>
  <si>
    <t>赴美國加州大學河濱分校 (University of California-Riverside)與Prof. Joshua (Chun Hung) Lui 討論合作研究之議題。</t>
  </si>
  <si>
    <t>108/09/09-108/09/23</t>
  </si>
  <si>
    <t>Riverside, California</t>
  </si>
  <si>
    <t>至史丹佛移地研究8/9</t>
  </si>
  <si>
    <t>108/08/09-108/08/27</t>
  </si>
  <si>
    <t>聖地牙哥(San Diego,California) 帕洛阿爾托(Palo Alto,California) 達特茅斯</t>
  </si>
  <si>
    <t>?分子接面中的量子輸運_107-2112-M-001-036-MY3</t>
  </si>
  <si>
    <t>討論關於奈米結構中量子輸運的問題</t>
  </si>
  <si>
    <t>赴法國巴黎奈米科學中心與Monique Combescot討論合作研究。</t>
  </si>
  <si>
    <t>二維材料及其異質結構在光學及電子元件的應用</t>
  </si>
  <si>
    <t>二維材料及其異質結構在光學及電子元件的應用/至科技部 PPP 計畫合作對象 Dr. Falk Eilenberger 之研究機構 Institute of Applied Physics, Friedrich Schiller University, Jena 參訪</t>
  </si>
  <si>
    <t>Jena</t>
  </si>
  <si>
    <t>前往德國 Friedrich Schiller University Jena 執行 PPP 計畫。</t>
  </si>
  <si>
    <t>108/05/07-108/06/06</t>
  </si>
  <si>
    <t>政治學計量方法研習營 2018-2020_107-2420-H-001-006-MY3</t>
  </si>
  <si>
    <t>前往ICPSR進修統計課程： 1、Introduction to Computing 2、Introduction to Python</t>
  </si>
  <si>
    <t>108/06/20-108/07/20</t>
  </si>
  <si>
    <t>Ann Arbor</t>
  </si>
  <si>
    <t>至美國華盛頓大學研究訪問，進行此計畫資料分析</t>
  </si>
  <si>
    <t>108/06/05-108/07/31</t>
  </si>
  <si>
    <t>Saint Louis</t>
  </si>
  <si>
    <t>獲本計畫支持赴美北卡羅來納大學教堂山分校參加ICPSR五天文本分析工作坊</t>
  </si>
  <si>
    <t>108/07/06-108/07/15</t>
  </si>
  <si>
    <t>Chapel Hill, NC</t>
  </si>
  <si>
    <t>至美國哈佛大學研究訪問</t>
  </si>
  <si>
    <t>108/08/27-108/09/20</t>
  </si>
  <si>
    <t>華盛頓特區(Washington) 劍橋(Cambridge,Massachusetts)</t>
  </si>
  <si>
    <t>蹲點計畫洽談協商</t>
  </si>
  <si>
    <t>協助執行科技部補助國際合作擴充加值型之雙邊合作計畫，擬前往日本日本理化研究所(RIKEN)進行學術討論。</t>
  </si>
  <si>
    <t>發展摺紙式的類器官培養模組以應用於組織再生及疾病控制研究(1/3)_MOST107-2119-M-001-039</t>
  </si>
  <si>
    <t>參訪與技術交流</t>
  </si>
  <si>
    <t>108/08/19-108/08/23</t>
  </si>
  <si>
    <t>108/04/23-108/06/12</t>
  </si>
  <si>
    <t>自由基工作機制:高階電子自旋光譜研究-以蛋白複合物晶體學、電子自旋及核磁共振探討轉酮基?焦磷酸硫胺素輔?之催化機制(計畫二)(3_107-2627-M-001-010-</t>
  </si>
  <si>
    <t>前往日本大阪兵庫縣-相生Spring-8進行蛋白質晶體繞射實驗</t>
  </si>
  <si>
    <t>108/06/09-108/06/12</t>
  </si>
  <si>
    <t>兵庫縣-相生</t>
  </si>
  <si>
    <t>參加4/24舉辦的ISEV2019 Education Day教育訓練</t>
  </si>
  <si>
    <t>108/04/23-108/04/26</t>
  </si>
  <si>
    <t>為執行科技部補助國際合作擴充加值型之雙邊合作計畫，擬前晚日本日本理化研究所(RIKEN)進行學術討論。</t>
  </si>
  <si>
    <t>108/06/18-108/06/25</t>
  </si>
  <si>
    <t>陳家揚博士後研究學者獲得本計畫補助前往史丹福大學進修</t>
  </si>
  <si>
    <t>107/10/08-108/10/09</t>
  </si>
  <si>
    <t>參與教育部學海A+計畫-優秀青年學子赴史丹佛大學蹲點第1年試辦計畫</t>
  </si>
  <si>
    <t>108/01/01-108/10/09</t>
  </si>
  <si>
    <t>發展摺紙式的類器官培養模組以應用於組織再生及疾病控制研究(2/3)_108-2119-M-001-018-</t>
  </si>
  <si>
    <t>進行研究相關實驗</t>
  </si>
  <si>
    <t>108/12/03-108/12/14</t>
  </si>
  <si>
    <t>赴德國科隆參訪GESIS資料庫</t>
  </si>
  <si>
    <t>108/12/15-108/12/21</t>
  </si>
  <si>
    <t>科隆(Cologne) 曼海姆</t>
  </si>
  <si>
    <t>貿易，結構轉型，與技術溢酬_107-2410-H-001-116-MY2</t>
  </si>
  <si>
    <t>108/12/06-108/12/11</t>
  </si>
  <si>
    <t>一個再探東亞脈絡的人權與民主論述_107-2410-H-001-072-MY3</t>
  </si>
  <si>
    <t>赴日本東京進行移地研究，蒐集東亞人權和民主相關資料，並和相關學者會談。</t>
  </si>
  <si>
    <t>108/11/13-108/11/18</t>
  </si>
  <si>
    <t>啟蒙憲政理論與國家目的：省思「政治性」的概念_108-2410-H-001-100-MY3</t>
  </si>
  <si>
    <t>政治理論協會是全球政治理論研究新近成立的研究社群，會議內容除學術會議論文外，亦包含會員專書寫作計畫工作坊和專書草稿工作坊，是政治理論研究社群重要的年度學術集會。本人正在進行將博士論文改寫成學術專書一事，將參與參與專書寫作與專書草稿工作坊，報告個人專書計畫與現有草稿，同其他會員討論。並蒐集資料。</t>
  </si>
  <si>
    <t>108/10/23-108/11/02</t>
  </si>
  <si>
    <t>食品安全風險下的亞洲農業：以高價值蔬菜業為例_108-2410-H-001-074-</t>
  </si>
  <si>
    <t>進行科技部「食品安全風險下的亞洲農業：以高價值蔬菜業為例」研究計畫,前往泰國清邁及曼谷訪問當地冷凍加工廠、產地及市場調查。</t>
  </si>
  <si>
    <t>108/07/22-108/07/27</t>
  </si>
  <si>
    <t>曼谷(Bangkok) 清邁(Chiang mai)</t>
  </si>
  <si>
    <t>至University of California at Davis與經濟系James Bushnell教授討論學術研究合作事宜。</t>
  </si>
  <si>
    <t>108/06/22-108/08/04</t>
  </si>
  <si>
    <t>重估馬克思的共產思想_106-2410-H-001-035-MY3</t>
  </si>
  <si>
    <t>赴英國倫敦進行移地研究與Professor Gareth Stedman Jones和Professor John Dunn進行討論。</t>
  </si>
  <si>
    <t>108/08/14-108/08/27</t>
  </si>
  <si>
    <t>台灣地區社會變遷基本調查研究-台灣地區社會變遷基本調查研究第七期(IV-V)_107-2420-H-001-003-SS2(社會學研究所)</t>
  </si>
  <si>
    <t>前往曼海姆(Mannheim)參加ISSP方法小組會議</t>
  </si>
  <si>
    <t>法律學門規劃研究推動計畫_107-2418-H-001-002-MY3</t>
  </si>
  <si>
    <t>108/06/27-108/07/08</t>
  </si>
  <si>
    <t>德國公法學「劃界」思維之批判研究：從法規範的擬制性檢討德國公法學傳統中「法」與「國家」的二元對立_107-2410-H-001-045-MY3</t>
  </si>
  <si>
    <t>108/04/24-108/05/04</t>
  </si>
  <si>
    <t>慕尼黑(Munich)</t>
  </si>
  <si>
    <t>至日本東京情報通信研究機構（NICT）研究</t>
  </si>
  <si>
    <t>研究，邀請單位：Department of Computer Science and Technology, University of Cambridge, UK.</t>
  </si>
  <si>
    <t>108/05/08-108/07/01</t>
  </si>
  <si>
    <t>美國(U.S.A.) 英國(United Kingdom)</t>
  </si>
  <si>
    <t>舊金山(San Francisco,California) 劍橋(Cambridge)</t>
  </si>
  <si>
    <t>108/08/05-108/08/14</t>
  </si>
  <si>
    <t>研究，邀請單位：芝加哥大學(U. Chicago)、伊利諾大學-香檳分校(UIUC)、Discovery Partners Institute(DPI)、加州大學柏克萊分校(UCB)</t>
  </si>
  <si>
    <t>108/08/18-108/08/29</t>
  </si>
  <si>
    <t>芝加哥(Chicago,Illinois) 香檳市 舊金山(San Francisco,California)</t>
  </si>
  <si>
    <t>108/08/07-108/08/29</t>
  </si>
  <si>
    <t>研究，邀請單位： Tel Aviv University、Ben Gurion University</t>
  </si>
  <si>
    <t>108/09/07-108/09/11</t>
  </si>
  <si>
    <t>1.邀請單位：U. Chicago 2.邀請單位：UIUC 3.邀請單位：DPI 4.邀請單位：UCB</t>
  </si>
  <si>
    <t>研究，邀請單位：NUS RMI CRI</t>
  </si>
  <si>
    <t>108/06/25-108/07/31</t>
  </si>
  <si>
    <t>研究：代表TWISC出席Black Hat 2019、DEFCON 27及CHES2019進行研究調查</t>
  </si>
  <si>
    <t>研究，邀請單位：日本東京首都大學（TMU）</t>
  </si>
  <si>
    <t>108/08/27-108/09/30</t>
  </si>
  <si>
    <t>研究，邀請單位：威斯康辛大學麥迪遜分校(UW-Madison)、哥倫比亞大學(Columbia University)、芝加哥大學(U. Chicago)、伊利諾大學-香檳分校(UIUC)、Discovery Partners Institute(DPI)、加州大學柏克萊分校(UCB)</t>
  </si>
  <si>
    <t>108/07/25-108/08/29</t>
  </si>
  <si>
    <t>紐約市(New York,New York) 芝加哥(Chicago,Illinois) 香檳市 麥迪遜市 舊金山(San Francisco,California)</t>
  </si>
  <si>
    <t>研究，參與Asiacrypt 2019會議，進行為期6日的國際密碼學研習交流。</t>
  </si>
  <si>
    <t>研究，邀請單位：University of Waterloo</t>
  </si>
  <si>
    <t>108/07/01-108/08/26</t>
  </si>
  <si>
    <t>訪問，邀請單位:SMU Prof. Yuan FANG</t>
  </si>
  <si>
    <t>108/06/24-108/07/09</t>
  </si>
  <si>
    <t>108/06/26-108/07/02</t>
  </si>
  <si>
    <t>108/06/24-108/07/03</t>
  </si>
  <si>
    <t>至國立新加坡大學電機&amp;量子科學中心，針對「Security proofs」、「quantum cryptography」，以及「quantum information」等主題進行研究及合作討論。</t>
  </si>
  <si>
    <t>108/04/21-108/07/08</t>
  </si>
  <si>
    <t>108/06/24-108/07/04</t>
  </si>
  <si>
    <t>研究，邀請單位：Department of Computer Science and Technology, University of Cambridge, UK</t>
  </si>
  <si>
    <t>研究：荷蘭海牙資安週國際合作與移地研究</t>
  </si>
  <si>
    <t>108/10/02-108/10/06</t>
  </si>
  <si>
    <t>108/08/05-108/08/24</t>
  </si>
  <si>
    <t>「深度低碳社會：社會行為與制度轉型的行動研究計畫」約聘助理陳婉娥擬於10月26日至11月3日赴日本京都訪談。</t>
  </si>
  <si>
    <t>108/10/26-108/11/03</t>
  </si>
  <si>
    <t>前往美國芝加哥出席OLC國際生物科技會議並發表演講，會後訪問芝加哥大學暨前往Walnut Creek訪問Joint Genomics Institute</t>
  </si>
  <si>
    <t>108/09/21-108/10/01</t>
  </si>
  <si>
    <t>芝加哥(Chicago,Illinois) Walnut Creek</t>
  </si>
  <si>
    <t>Purposes: To attend OLC International Biotechnolgoy Conference at Chicago and give a talk, to visit University of Chicago, and to visit Joint Genomics Institute.</t>
  </si>
  <si>
    <t>108/09/20-108/09/30</t>
  </si>
  <si>
    <t>108/12/09-108/12/30</t>
  </si>
  <si>
    <t>執行TPP研究計畫，因蛋白質研究內容須前往日本SPring-8研究中心進行繞射數據收集實驗</t>
  </si>
  <si>
    <t>108/09/09-108/09/19</t>
  </si>
  <si>
    <t>Villigen</t>
  </si>
  <si>
    <t>赴瑞士 SwissFEL, the Paul Scherrer Institute (PSI) 研究中心進行蛋白質結構研究工作</t>
  </si>
  <si>
    <t>108/09/09-108/09/18</t>
  </si>
  <si>
    <t>Doing experiment and collect data at SwissFEL, PSI, Switzerlands</t>
  </si>
  <si>
    <t>108/09/08-108/09/20</t>
  </si>
  <si>
    <t>到日本spring-8做蛋白質實驗</t>
  </si>
  <si>
    <t>108/10/24-108/10/26</t>
  </si>
  <si>
    <t>到瑞士 Swiss-FEL 設施進行蛋白質研究</t>
  </si>
  <si>
    <t>Taiwan Protein Project 赴日進行蛋白質實驗</t>
  </si>
  <si>
    <t>108/09/09-108/09/21</t>
  </si>
  <si>
    <t>Taiwan Protein Project 赴SwissFEL進行光束線實驗</t>
  </si>
  <si>
    <t>108/09/05-108/09/19</t>
  </si>
  <si>
    <t>瑞士(Switzerland) 德國(Germany)</t>
  </si>
  <si>
    <t>Villigen Marburg</t>
  </si>
  <si>
    <t>108/11/04-108/11/12</t>
  </si>
  <si>
    <t>108/10/22-108/10/30</t>
  </si>
  <si>
    <t>兵庫縣 大阪(Osaka) 東京(Tokyo)</t>
  </si>
  <si>
    <t>蛋白質結構、抗體抗原相關研究須赴日本進行X光繞射實驗數據收集</t>
  </si>
  <si>
    <t>108/10/07-108/10/11</t>
  </si>
  <si>
    <t>Taiwan Protein Project赴SwissFEL進行光束線實驗</t>
  </si>
  <si>
    <t>Perform experiments at SwissFEL</t>
  </si>
  <si>
    <t>赴瑞士SwissFEL做蛋白質實驗</t>
  </si>
  <si>
    <t>赴瑞士Paul Scherrer Institut做蛋白質實驗及晶體繞射數據收集</t>
  </si>
  <si>
    <t>Taiwan Protein Project 7/3-7/5前往SwissFEL(Paul Scherrer Institut)，安排9月TPP團隊前往SwissFEL進行光束線實驗相關事宜。</t>
  </si>
  <si>
    <t>108/06/24-108/07/27</t>
  </si>
  <si>
    <t>協助執行TPP蛋白質研究計畫，前往日本SP8進行實驗數據分析</t>
  </si>
  <si>
    <t>108/05/26-108/06/08</t>
  </si>
  <si>
    <t>執行TPP研究，因研究內容須前往日本SPring-8中心進行蛋白質研究數據收集實驗</t>
  </si>
  <si>
    <t>108/06/13-108/06/24</t>
  </si>
  <si>
    <t>兵庫縣 京都(Kyoto)</t>
  </si>
  <si>
    <t>108/05/26-108/06/07</t>
  </si>
  <si>
    <t>108/05/13-108/05/16</t>
  </si>
  <si>
    <t>赴日本兵庫縣Spring 8進行蛋白質研究</t>
  </si>
  <si>
    <t>108/11/27-108/12/01</t>
  </si>
  <si>
    <t>日本兵庫縣</t>
  </si>
  <si>
    <t>108/05/27-108/06/05</t>
  </si>
  <si>
    <t>108/11/23-108/12/03</t>
  </si>
  <si>
    <t>名古屋(Nagoya) 兵庫縣</t>
  </si>
  <si>
    <t>參加2019 Gordon Research Conference "Proteins"</t>
  </si>
  <si>
    <t>前往美國Temple University進行學術討論。</t>
  </si>
  <si>
    <t>前往日本東京大學及東京農業大學進行參訪與合作研究之討論。</t>
  </si>
  <si>
    <t>前往日本東京大學進行快速、大面積電子束微影技術等設備之參觀與合作討論並前往東京農業大學進行合作研究之討論。</t>
  </si>
  <si>
    <t>108/08/27-108/09/01</t>
  </si>
  <si>
    <t>計畫結餘款再運用-林耿慧</t>
  </si>
  <si>
    <t>林耿慧副研究員擬於2019-08-08至2019-08-22赴美國紐澤西理工學院和赴美國紐約州立大學水牛城分校進行訪問。</t>
  </si>
  <si>
    <t>108/08/08-108/08/22</t>
  </si>
  <si>
    <t>紐華克 水牛城</t>
  </si>
  <si>
    <t>徐麗芬實驗室計畫結餘款再運用</t>
  </si>
  <si>
    <t>參加18th CGCM Meeting並獲選poster presentation</t>
  </si>
  <si>
    <t>108/08/07-108/08/13</t>
  </si>
  <si>
    <t>上海(Shanghai)</t>
  </si>
  <si>
    <t>9999_計畫結餘款再運用-張原豪_美國普渡大學訪問研究</t>
  </si>
  <si>
    <t>計畫結餘款再運用-胡宇光</t>
  </si>
  <si>
    <t>研究員胡宇光先生擬於108年10月07日起至108年10月15日止受邀前往法國進行學術、技術交流，討論研究計畫French-Taiwanese PHC Orchid Project，主題為「HPC for multi-modal X-Ray CT and 3D IR spectra-imaging」</t>
  </si>
  <si>
    <t>塔朗斯</t>
  </si>
  <si>
    <t>前往美國德州UTMB大學(University of Texas Medical Branch)演講及進行學術交流</t>
  </si>
  <si>
    <t>德州Galveston</t>
  </si>
  <si>
    <t>計畫結餘款再運用-阮自強</t>
  </si>
  <si>
    <t>本所研究員阮自強先生擬訂自本(108)年8月16日起至同年9月30日止，應邀至法國巴黎「法國國家科學研究中心」所轄「法國理論物理暨技術中心」進行學術參訪。</t>
  </si>
  <si>
    <t>108/08/16-108/09/30</t>
  </si>
  <si>
    <t>赴美國威斯康辛大學麥迪遜校區進行國際研究合作交流</t>
  </si>
  <si>
    <t>108/08/15-108/09/10</t>
  </si>
  <si>
    <t>麥迪遜</t>
  </si>
  <si>
    <t>美國University of California, Riverside 訪問研究</t>
  </si>
  <si>
    <t>河濱市</t>
  </si>
  <si>
    <t>計畫結餘款再運用-林彥宇老師</t>
  </si>
  <si>
    <t>訪問，邀請單位：NEC Laboratories America</t>
  </si>
  <si>
    <t>結餘款再運用-修丕承老師</t>
  </si>
  <si>
    <t>訪問，邀請單位：南洋理工大學</t>
  </si>
  <si>
    <t>108/07/09-108/07/14</t>
  </si>
  <si>
    <t>結餘款再運用</t>
  </si>
  <si>
    <t>5/15–17,invited as a keynote speaker for the fourth annual Canadian Glycomics Symposium in Banff, 5/18–19,visit the Department of Nutritional Sciences at University of Wisconsin</t>
  </si>
  <si>
    <t>108/05/11-108/05/21</t>
  </si>
  <si>
    <t>班夫(Banff) Wisconsin, Madison</t>
  </si>
  <si>
    <t>應邀至新加坡之Duke-NUS Neuroscience and Behavioural Disorders (NBD) 參訪，並給予演講。</t>
  </si>
  <si>
    <t>108/07/18-108/07/20</t>
  </si>
  <si>
    <t>謝國興研究員結餘款再運用（600004）</t>
  </si>
  <si>
    <t>為蒐集未來比較研究相關資料，參與國立臺北藝術大學建築與文化資產研究所之參訪團，擬前往摩洛哥等地進行實地考察當地世界文明遺址。</t>
  </si>
  <si>
    <t>108/07/05-108/07/17</t>
  </si>
  <si>
    <t>索維拉 拉巴特(Rabat) 梅克內斯、費斯等 馬拉喀什(Marrakech) 卡薩布蘭加(Casablanca)</t>
  </si>
  <si>
    <t>受邀於2019/08/07-2019/08/15前往School of Business Administration, University of Houston Victoria訪問、進行學術交流並參加Annual Meeting of North American Taiwanese Professor Association。</t>
  </si>
  <si>
    <t>108/08/07-108/08/15</t>
  </si>
  <si>
    <t>108年6月7日至6月11日，出席於美國巴爾的摩舉行的【2019年營養大會暨美國營養學會年會】</t>
  </si>
  <si>
    <t>108/06/06-108/06/16</t>
  </si>
  <si>
    <t>計畫結餘款再運用-李定國</t>
  </si>
  <si>
    <t>研究員胡宇光先生擬於108年04月09日起至108年04月14日止應邀赴日本兵庫縣SPring-8進行訪問</t>
  </si>
  <si>
    <t>約聘助理林伯儒美國威斯康辛大學麥迪遜校區學術交流及協助動物實驗</t>
  </si>
  <si>
    <t>於108年5月21日至6月14日前往美國威斯康辛大學麥迪遜校區進行學術交流、協助執行大動物及非人類靈長類動物實驗，並觀摩學習新技術。</t>
  </si>
  <si>
    <t>108/05/21-108/06/16</t>
  </si>
  <si>
    <t>職傅洛夫副研究員擬於108年8月17日至9月12日申請出國至俄羅斯、西班牙、以色列及英國學術交流及參加國際會議。</t>
  </si>
  <si>
    <t>108/08/17-108/09/13</t>
  </si>
  <si>
    <t>西班牙(Spain) 俄羅斯(Russia) 以色列(Israel) 英國(United Kingdom)</t>
  </si>
  <si>
    <t>巴塞隆納(Barcelona) 莫斯科(Moscow) 拉馬干 南安普敦</t>
  </si>
  <si>
    <t>108/10/17-108/10/29</t>
  </si>
  <si>
    <t>應邀前往德國海德堡之｢EMBL｣參訪，進行｢EMBO Global Investigator｣甄選之面試訪談，會中給予演講。</t>
  </si>
  <si>
    <t>108/11/10-108/11/14</t>
  </si>
  <si>
    <t>赴美國柏克萊UC Berkeley進行氣候動力學及急遽氣候變化對海洋影響相關研究交流、參加2019年AGU秋季會議</t>
  </si>
  <si>
    <t>108/11/27-108/12/18</t>
  </si>
  <si>
    <t>舊金山(San Francisco,California) 柏克萊(Brkeley, California)</t>
  </si>
  <si>
    <t>邱紀尊計畫結餘款</t>
  </si>
  <si>
    <t>赴美國洛杉磯執行 A global study of living arrangement and health expectancy 之移地研究</t>
  </si>
  <si>
    <t>赴日本京都大學化學研究所(Institute for Chemical Research, Kyoto University)進行"亞北極太平洋和西北太平洋海域微量元素和同位素之分布與循環機制"等研究主題進行學術交流。</t>
  </si>
  <si>
    <t>108/12/08-108/12/21</t>
  </si>
  <si>
    <t>9999_計畫結餘款再運用-莊庭瑞_Belmont Forum SEI CRA Kick-off meeting_DH 2019</t>
  </si>
  <si>
    <t>巴黎(Paris) Utrecht</t>
  </si>
  <si>
    <t>計畫結餘款再運用</t>
  </si>
  <si>
    <t>因公奉派赴韓國首爾高等學院(KIAS)進行學術訪問。</t>
  </si>
  <si>
    <t>108/11/25-108/11/30</t>
  </si>
  <si>
    <t>赴美國威斯康辛大學麥迪遜校區進行國際研究合作及交流</t>
  </si>
  <si>
    <t>108/09/27-108/12/03</t>
  </si>
  <si>
    <t>計畫結餘款在運用-李定國</t>
  </si>
  <si>
    <t>研究員胡宇光先生擬於108年05月02日起至108年05月11日止受邀前往瑞士洛桑理工學院 Ecole Polytechnique Federale de Lausanne (EPFL)訪問(Prof. Giorgio Margaritondo研究討論brain imaging and the proposed SYNAPSE project)</t>
  </si>
  <si>
    <t>108/05/02-108/05/11</t>
  </si>
  <si>
    <t>9999_計畫結餘款再運用-張原豪_美國普渡大學訪問</t>
  </si>
  <si>
    <t>108/10/24-108/12/14</t>
  </si>
  <si>
    <t>西拉法葉</t>
  </si>
  <si>
    <t>計畫結餘款再運用-李偉立</t>
  </si>
  <si>
    <t>李偉立先生擬於108年12月01日起至108年12月07日止赴法國LNCMI-CNRS, Grenoble進行訪問(研究交流)</t>
  </si>
  <si>
    <t>108/12/01-108/12/07</t>
  </si>
  <si>
    <t>格勒諾勃(GRENOBLE)</t>
  </si>
  <si>
    <t>108年12月5日至12月7日，出席韓國舉行的【The 8th Asian Pain Symposium】</t>
  </si>
  <si>
    <t>108/12/02-108/12/08</t>
  </si>
  <si>
    <t>仁川(Incheon)</t>
  </si>
  <si>
    <t>畫結餘款再運用-鄭海揚</t>
  </si>
  <si>
    <t>鄭海揚先生擬自本(108)年7月30日起至同年8月31日止，應邀赴美國紐約州立大學石溪分校「楊振寧理論物理研究所」進行學術訪問</t>
  </si>
  <si>
    <t>108/07/30-108/08/31</t>
  </si>
  <si>
    <t>長島石溪</t>
  </si>
  <si>
    <t>108年11月2日至11月5日，出席於美國鳳凰城舉行的【SFG 2019 Annual Meeting】，另順道於10/18至11月1日及11月6日至11月7日，訪問UC Davis。</t>
  </si>
  <si>
    <t>108/10/18-108/11/08</t>
  </si>
  <si>
    <t>鳳凰城(Phoenix,Arizona) Davis</t>
  </si>
  <si>
    <t>9999_計畫結餘款再運用-古倫維_美國賓州州立大學資訊科學與技術學院訪問</t>
  </si>
  <si>
    <t>108/07/22-108/12/29</t>
  </si>
  <si>
    <t>Pennsylvania</t>
  </si>
  <si>
    <t>計畫結餘款-郭大維老師</t>
  </si>
  <si>
    <t>訪問：邀請單位-American University of Sharjah</t>
  </si>
  <si>
    <t>108/02/07-108/03/07</t>
  </si>
  <si>
    <t>沙迦</t>
  </si>
  <si>
    <t>赴美國威斯康辛大學麥迪遜校區進行合作交流</t>
  </si>
  <si>
    <t>藍108年1月31日至3月19日赴美國威斯康辛大學麥迪遜校區進行國際合作交流</t>
  </si>
  <si>
    <t>108/01/30-108/03/17</t>
  </si>
  <si>
    <t>麥迪遜巿</t>
  </si>
  <si>
    <t>陳志柔計畫結餘款再運用</t>
  </si>
  <si>
    <t>參加國際社會學會執行委員會議（International Sociological Association Executive Committee Annual Meeting）</t>
  </si>
  <si>
    <t>美國喬治亞大學參訪與演講</t>
  </si>
  <si>
    <t>應美國喬治亞大學Rom Simons教授邀請，於2019/2月份前往該校進行參訪，並於UGA的Center on Biological Embedding of Social Events and Relationships提供一場演講，針對本人在社會學領域的研究與興趣與該系所的教授成員與碩博士生進行小組討論，並商討未來可能的合作關係。</t>
  </si>
  <si>
    <t>108/01/23-108/02/18</t>
  </si>
  <si>
    <t>受邀於107年8月26日至31日赴日本訪問早稻田大學，與Funaki教授進行學術交流</t>
  </si>
  <si>
    <t>受邀於108年3月27日至31日赴日本訪問早稻田大學，與Funaki教授進行學術交流</t>
  </si>
  <si>
    <t>赴印度新德里Indian Institute of Technology Delhi交流訪問</t>
  </si>
  <si>
    <t>赴日本京都大學交流</t>
  </si>
  <si>
    <t>赴德國布萊梅大學參訪</t>
  </si>
  <si>
    <t>108/02/11-108/02/16</t>
  </si>
  <si>
    <t>結餘款再運用-郭大維</t>
  </si>
  <si>
    <t>訪問，邀請單位：亞洲理工學院</t>
  </si>
  <si>
    <t>108/01/29-108/02/02</t>
  </si>
  <si>
    <t>何之行老師計畫結餘款</t>
  </si>
  <si>
    <t>訪問與演講等</t>
  </si>
  <si>
    <t>108/03/04-108/03/08</t>
  </si>
  <si>
    <t>香港(Hong Kong)</t>
  </si>
  <si>
    <t>信息，風險，以及多期的代理人問題：動態契約方法</t>
  </si>
  <si>
    <t>05/27-06/21赴加拿大卡爾加利大學與Kyoung Jin Choi教授進行學術交流並撰寫研究計畫下相關論文。並於訪問期間05/31-06/02參加2019 CEA加拿大經濟學會年會，發表論文” A Life-Cycle Model of Universal Basic Income”。</t>
  </si>
  <si>
    <t>108/05/26-108/06/23</t>
  </si>
  <si>
    <t>班夫(Banff) 卡爾加利(Calgary)</t>
  </si>
  <si>
    <t>中研院與沖繩技術大學院雙邊學術交流</t>
  </si>
  <si>
    <t>前往日本沖繩參加AS*OIST joint symposium</t>
  </si>
  <si>
    <t>赴沙烏地阿拉伯King Abdullah University of Science and Technology(KAUST)學術交流訪問</t>
  </si>
  <si>
    <t>108/05/10-108/05/15</t>
  </si>
  <si>
    <t>沙烏地阿拉伯(Saudi Arabia)</t>
  </si>
  <si>
    <t>吉達(Jeddah)</t>
  </si>
  <si>
    <t>9999_計畫結餘款再運用-呂俊賢_ISCAS 2019</t>
  </si>
  <si>
    <t>參加會議：AAAI Conference on Artificial Intelligence (AAAI-2019)，並發表論文</t>
  </si>
  <si>
    <t>108/01/27-108/02/03</t>
  </si>
  <si>
    <t>9999_張原豪老師計畫結餘款再運用_2019 ISLPED</t>
  </si>
  <si>
    <t>108/05/02-108/05/06</t>
  </si>
  <si>
    <t>12/7赴休士頓拜訪Department of Earth, Environmental and Planetary Sciences Rice University, Cin-Ty Lee教授討論學術研究，12/8-12/13赴華盛頓特區參加AGU。</t>
  </si>
  <si>
    <t>107/12/06-107/12/15</t>
  </si>
  <si>
    <t>華盛頓特區(Washington) 休士頓(Houston,Texas)</t>
  </si>
  <si>
    <t>計畫結餘款-林彥宇</t>
  </si>
  <si>
    <t>參加會議：IEEE/ACM ISLPED 2019 TPC Meeting</t>
  </si>
  <si>
    <t>108年5月9日至5月13日，出席於美國聖地牙哥舉行的【IMMUNOLOGY 2019】，另於5月4日至5月5日出席於史丹佛舉行的【AIM Investigator Conference】，並順道於5月8日參訪UC San Dieg.</t>
  </si>
  <si>
    <t>108/05/03-108/05/16</t>
  </si>
  <si>
    <t>Stanford,California 聖地牙哥(San Diego,California) Davis, CA</t>
  </si>
  <si>
    <t>參與國際會議 2019 Post-transcriptional Gene Regulation in Plants Conference，並張貼研究成果海報</t>
  </si>
  <si>
    <t>108/03/17-108/03/25</t>
  </si>
  <si>
    <t>出席2nd USA-Academia Sinica Bilateral Research Symposium發表壁報論文</t>
  </si>
  <si>
    <t>9999_計畫結餘款再運用-呂俊賢_ICML 2019</t>
  </si>
  <si>
    <t>108/06/10-108/06/16</t>
  </si>
  <si>
    <t>Long Beach</t>
  </si>
  <si>
    <t>CREATE VII:亞洲增生與碰撞大地構造研究整合型計畫-III 總計畫(三)</t>
  </si>
  <si>
    <t>103年計畫結餘款-吳宗益</t>
  </si>
  <si>
    <t>論文發表</t>
  </si>
  <si>
    <t>Temporal velocity changes in the crust induced by great earthquakes in the Northeastern Japan</t>
  </si>
  <si>
    <t>63RA20　計畫結餘款再運用-RA20薛景中</t>
  </si>
  <si>
    <t>參加於義大利羅馬舉辦之國際研討會(11th International Conference on Hybrid and Organic Photovoltaics, HOPV)</t>
  </si>
  <si>
    <t>108/05/09-108/05/18</t>
  </si>
  <si>
    <t>陳文村老師計畫結餘款再運用_代9999_DAC TPC Meeting</t>
  </si>
  <si>
    <t>9999_呂俊賢老師 計畫結餘款再運用_2019 IACETI</t>
  </si>
  <si>
    <t>108/04/03-108/04/09</t>
  </si>
  <si>
    <t>呂俊賢老師計畫結餘款再運用_代9999_ICRAET 2019</t>
  </si>
  <si>
    <t>108/02/25-108/02/28</t>
  </si>
  <si>
    <t>9999_陳文村老師計畫結餘款再運用_IEEE WCNC 2019</t>
  </si>
  <si>
    <t>108/04/13-108/04/20</t>
  </si>
  <si>
    <t>Marrakech</t>
  </si>
  <si>
    <t>赴日本參與「Applied System Institute of Asia—全球價值鏈國際會議(ASSIA)」、國際西方經濟協會年會(WEAI)，並赴日本貿易振興機構亞洲經濟研究所(IDE-JETRO)參與研討</t>
  </si>
  <si>
    <t>名古屋(Nagoya) 東京(Tokyo)</t>
  </si>
  <si>
    <t>赴新加坡參加Supercomputing Asia 2019 (SCA 2019)</t>
  </si>
  <si>
    <t>赴新加坡參加Supercomputing Asia 2019</t>
  </si>
  <si>
    <t>108/03/10-108/03/15</t>
  </si>
  <si>
    <t>本所所方結餘款再運用（600000）項下支應</t>
  </si>
  <si>
    <t>往美國康乃狄克州哈特福出席「NCPH美國公共歷史學會年會」（The National Council on Public History Annual Meeting )，並於會中發表"When everyman becomes his own historian: Recent Developments of Public History in Taiwan"一文。</t>
  </si>
  <si>
    <t>108/03/25-108/04/01</t>
  </si>
  <si>
    <t>哈特福</t>
  </si>
  <si>
    <t>420022　李秀敏老師-J7計畫結餘款再運用</t>
  </si>
  <si>
    <t>赴美參加The 18th Annual International Astrophysics Conference 發表研究成果</t>
  </si>
  <si>
    <t>帕莎蒂娜(Pasadena, California)</t>
  </si>
  <si>
    <t>赴日本參與15th International Conference of the Western Economic Association International (WEAI)，並口頭報告論文。</t>
  </si>
  <si>
    <t>亞獅康私人有限公司(ASLAN Pharmaceuticals Pte.LTd.)_測試藥物抗藥性與基因表現_28T-1050810-1C</t>
  </si>
  <si>
    <t>108年3月10日至3月14日，出席於加拿大蒙特婁舉行的【2019 Microbiome: Chemical Mechanisms and Biological Consequences (CS)】</t>
  </si>
  <si>
    <t>參加European Geophysics Union 2019 Annual Meeting</t>
  </si>
  <si>
    <t>108/04/01-108/04/12</t>
  </si>
  <si>
    <t>美國丹佛, AAS 2019 Annual Conference</t>
  </si>
  <si>
    <t>108/03/20-108/03/27</t>
  </si>
  <si>
    <t>趙光裕老師計畫結餘款-參與國際會議Japan-Taiwan Plant Biology 2019 (JTPB 2019)</t>
  </si>
  <si>
    <t>9999_陳伶志老師計畫結餘款再運用_2019年Air Quality Deployment Forum</t>
  </si>
  <si>
    <t>34A021吳素幸計畫結餘款-參加日本名古屋舉辦之台日雙邊植物學國際會議</t>
  </si>
  <si>
    <t>參加日本名古屋舉辦之台日雙邊植物學國際會議</t>
  </si>
  <si>
    <t>34A021吳素幸計畫結餘款-台日植物學年會</t>
  </si>
  <si>
    <t>參與台日植物學年會發表壁報</t>
  </si>
  <si>
    <t>AACR 與 EB 都是重要生物與病理協會，AACR 集合人文科學、癌症生物學、轉譯與臨床醫學，是集醫學與藥學領域研究大成之會議。EB則由ASIP所主辦，重視分子生物學、病理與藥理等科學，同時是全美國最大的科學年會。</t>
  </si>
  <si>
    <t>計畫結餘款再運用-000004程舜仁</t>
  </si>
  <si>
    <t>3/22-3/24受邀參加國際會議 3/25-4/14受邀至University of Virginia移地研究</t>
  </si>
  <si>
    <t>108/03/17-108/04/14</t>
  </si>
  <si>
    <t>夏威夷州(State of Hawaii) Charlottesville, Virginia</t>
  </si>
  <si>
    <t>63RA36 計畫結餘款再運用-RA36董奕鍾</t>
  </si>
  <si>
    <t>參加2019年由美國地球物理聯盟 (American Geophysical Union, AGU) 所舉辦的秋季年會 (AGU Fall Meeting 2019)</t>
  </si>
  <si>
    <t>參加香港 Symposium in Reliability Theory and Industrial Statistics</t>
  </si>
  <si>
    <t>參加香港 Symposium in Reliability Theory and Industrial Statistics 可靠性理論與工業統計研討會</t>
  </si>
  <si>
    <t>108/12/11-108/12/14</t>
  </si>
  <si>
    <t>何之行計畫結餘款</t>
  </si>
  <si>
    <t>108/11/25-108/11/28</t>
  </si>
  <si>
    <t>赴印度奈尼塔爾參加「國際全球大氣化學組織-亞太季風區聯絡網工作坊會議(IGAC-MANGO 2019)」，及赴緬甸奈比多參加「第19屆亞洲科學理事會(The 19th Science Council of Asia Conference）」</t>
  </si>
  <si>
    <t>赴印度奈尼塔爾參加「國際全球大氣化學組織-亞太季風區聯絡網工作坊會議(IGAC-MANGO 2019)」，及赴緬甸奈比多參加「第19屆亞洲科學理事會(The 19th Science Council of Asia Conference）」代表院方出席兩會議進行亞洲科學交流與合作</t>
  </si>
  <si>
    <t>108/11/26-108/12/09</t>
  </si>
  <si>
    <t>印度(India) 緬甸(Burma)</t>
  </si>
  <si>
    <t>奈尼塔爾(Nainital) 內比都(Naypyitaw)</t>
  </si>
  <si>
    <t>700020陳嘉雯計畫結餘款再運用</t>
  </si>
  <si>
    <t>108/12/11-108/12/16</t>
  </si>
  <si>
    <t>9999_計畫結餘款再運用-莊庭瑞_PARSEC Japan-Taiwan Meeting_日本國立情報學研究所訪問</t>
  </si>
  <si>
    <t>108/08/30-108/09/04</t>
  </si>
  <si>
    <t>9999—計畫結餘款再運用-馬偉雲_NeurIPS 2019</t>
  </si>
  <si>
    <t>赴加拿大Banff參加國際研討會 the international conference on the “Xi Jinping Effect."</t>
  </si>
  <si>
    <t>108/06/26-108/06/30</t>
  </si>
  <si>
    <t>108年12月5日至12月7日，出席於韓國舉行的【The 8th Asian Pain Symposium】</t>
  </si>
  <si>
    <t>108/12/05-108/12/08</t>
  </si>
  <si>
    <t>108年11月20日至11月22日，出席於紐西蘭舉行的【第十四屆神經與腦疾病學術會議】</t>
  </si>
  <si>
    <t>108/11/18-108/11/24</t>
  </si>
  <si>
    <t>皇后鎮(Queenstown)</t>
  </si>
  <si>
    <t>70005蔡明璋計畫結餘款再運用</t>
  </si>
  <si>
    <t>參加The 13th East Asian Contract Theory Conference</t>
  </si>
  <si>
    <t>赴日本參加The 13th East Asian Contract Theory Conference，順道訪問Kyoto University Chia-Hui Chen與Osaka University Junichiro Ishida博士，共同討論研究議題。</t>
  </si>
  <si>
    <t>9999_計畫結餘款再運用-呂俊賢_WIFS 2019</t>
  </si>
  <si>
    <t>108/12/08-108/12/13</t>
  </si>
  <si>
    <t>Delft</t>
  </si>
  <si>
    <t>計畫結餘款再運用-曹昱老師</t>
  </si>
  <si>
    <t>參加會議：Interspeech2019，發表論文：IA-NET: Acceleration and Compression of Speech Enhancement using Integer-adder Deep Neural Network</t>
  </si>
  <si>
    <t>108/09/08-108/09/23</t>
  </si>
  <si>
    <t>結餘款再運用-曹昱老師</t>
  </si>
  <si>
    <t>參加會議：Acoustical Society of America並發表論文</t>
  </si>
  <si>
    <t>108/11/30-108/12/08</t>
  </si>
  <si>
    <t>計畫結餘款再運用333102</t>
  </si>
  <si>
    <t>108/09/08-108/09/13</t>
  </si>
  <si>
    <t>靜岡</t>
  </si>
  <si>
    <t>計畫結餘款再運用-楊奕軒老師</t>
  </si>
  <si>
    <t>參加會議：20th annual conference of the International Society for Music Information Retrieval</t>
  </si>
  <si>
    <t>參加會議：The 20th International Society for Music Information Retrieval (ISMIR) Conference</t>
  </si>
  <si>
    <t>108/11/02-108/11/12</t>
  </si>
  <si>
    <t>計畫結餘款再運用-陳洋元</t>
  </si>
  <si>
    <t>出席「2019 SPIE Optics + Photonics」及「AAAFM-UCLA-19」會議，並發表論文。</t>
  </si>
  <si>
    <t>P19035_分散式深度學習系統之網路傳輸優化技術研發_MOST108-2221-E-001-006_CANDAR 2019</t>
  </si>
  <si>
    <t>長崎(Nagasaki)</t>
  </si>
  <si>
    <t>108/10/25-108/11/04</t>
  </si>
  <si>
    <t>施明哲老師計畫結餘款 前往德國海德堡大學參與蛋白轉譯控制的研討會(EMBL workshop on protein synthesis and translational control)學習新知</t>
  </si>
  <si>
    <t>參與者雖不是以永續計畫支薪，但參與計畫執行且結果優異發表在國際期刊，為增進學術交流獲取新知派遣其代表前往德國海德堡參加 EMBL 舉辦的工作坊了解現今蛋白合成及轉譯調控的研究趨勢。以期應用於本實驗室的研究。</t>
  </si>
  <si>
    <t>赴美國丹佛參加Supercomputing 2019(SC19)國際會議</t>
  </si>
  <si>
    <t>108/11/16-108/11/25</t>
  </si>
  <si>
    <t>9999_計畫結餘款再運用-劉庭祿_ICCV 2019</t>
  </si>
  <si>
    <t>108年7月25日至7月28日，出席於日本舉行的【第42回日本神經科學大會】</t>
  </si>
  <si>
    <t>108年5月26日至5月29日，出席於荷蘭舉行的【87th European Atherosclerosis Society Congress】</t>
  </si>
  <si>
    <t>Maastricht</t>
  </si>
  <si>
    <t>108年5月9日至5月13日，出席於美國聖地牙哥夫舉行的【IMMUNOLOGY 2019】</t>
  </si>
  <si>
    <t>108/05/08-108/05/14</t>
  </si>
  <si>
    <t>博士後研究員王定遠先生擬於2019年7月10日至7月28日赴瑞士巴賽爾(Basel)與參與子生物學智慧系統/歐洲計算生物國際會議</t>
  </si>
  <si>
    <t>108/07/10-108/07/28</t>
  </si>
  <si>
    <t>出席植物基因體學相關國際會議: 6th Plant Genomics and Gene Editing Congress: Asia</t>
  </si>
  <si>
    <t>出席植物基因體學相關國際會議,主要工作內容為吸收植物基因體學新知,跟與會學者就實際科研內容進行交流.本次研討會重點為新進基因體學及基因編輯技術.</t>
  </si>
  <si>
    <t>108/07/28-108/08/01</t>
  </si>
  <si>
    <t>9999_計畫結餘款再運用-林仲彥_ISMB 2019</t>
  </si>
  <si>
    <t>700019范毅軍計畫結餘款再運用</t>
  </si>
  <si>
    <t>參加「第29屆國際地圖研討會」並發表論文。</t>
  </si>
  <si>
    <t>108/07/14-108/07/27</t>
  </si>
  <si>
    <t>參加美國加州聖荷西市舉行｢2019年美國植物生物學年會(ASPB)｣。</t>
  </si>
  <si>
    <t>108/08/02-108/08/10</t>
  </si>
  <si>
    <t>地表地動的非線性分析</t>
  </si>
  <si>
    <t>9999_計畫結餘款再運用-許聞廉_ACL 2019</t>
  </si>
  <si>
    <t>伊慶春個人結餘款</t>
  </si>
  <si>
    <t>國際社會學社家庭研究委員會年度研討會，會議主題為：Families Amidst Global and Local Processes: Economic, Political and Cultural Change。會後擬順道在維也納拜訪RC06前主席Rudolf Richter教授。</t>
  </si>
  <si>
    <t>108/07/03-108/07/19</t>
  </si>
  <si>
    <t>希臘(Greece) 奧地利(Austria)</t>
  </si>
  <si>
    <t>Rhodes 維也納(Vienna)</t>
  </si>
  <si>
    <t>34A007計畫結餘款再運用-朱修安</t>
  </si>
  <si>
    <t>至英國曼徹斯特參加2019年世界經濟計量學會歐洲會議 (2019 ESEM)</t>
  </si>
  <si>
    <t>至英國曼徹斯特參加2019年世界經濟計量學會歐洲會議 (2019 ESEM)，並發表論文 A Distributional Approach to Model Selection and Averaging by Probabilistic Significance Tests</t>
  </si>
  <si>
    <t>108/08/24-108/09/01</t>
  </si>
  <si>
    <t>科技部結餘款(J70021)</t>
  </si>
  <si>
    <t>2019國際幹細胞研究學會年會</t>
  </si>
  <si>
    <t>參與2019國際幹細胞研究學會年會並張貼研究海報。</t>
  </si>
  <si>
    <t>108/06/22-108/07/06</t>
  </si>
  <si>
    <t>108/07/06-108/07/16</t>
  </si>
  <si>
    <t>大台北都會區與台灣北部山區地震觀測網</t>
  </si>
  <si>
    <t>To attend the TSPB/JSPP joint meeting in Nagoya, Japan</t>
  </si>
  <si>
    <t>1. To chair a keynote lecture session 2. To deliver an invited lecture 3. To interact with Japanese colleagues</t>
  </si>
  <si>
    <t>赴美國西雅圖參加2019年北美計量經濟學會會議(NAMES 2019)</t>
  </si>
  <si>
    <t>108/06/26-108/07/01</t>
  </si>
  <si>
    <t>參與2019日台植物生物學國際研討會,並發表壁報論文</t>
  </si>
  <si>
    <t>參加 ICT-2019 研討會</t>
  </si>
  <si>
    <t>前往韓國慶州參加 ICT-2019 研討會</t>
  </si>
  <si>
    <t>108/06/30-108/07/07</t>
  </si>
  <si>
    <t>參加空氣與廢棄物管理學會2019年年會暨研討會(the Air &amp; Waste Management Association (A&amp;WMA), 112th Annual Conference &amp; Exhibition (ACE)</t>
  </si>
  <si>
    <t>108/06/23-108/07/04</t>
  </si>
  <si>
    <t>000017蕭欽玉計畫結餘款</t>
  </si>
  <si>
    <t>受邀出席國際會議Joint AMS-Vietnam conference, special Session "Complex Geometry and Dynamical Systems</t>
  </si>
  <si>
    <t>QUI NHON</t>
  </si>
  <si>
    <t>參加第24屆國際RNA學會年度會議 (RNA 2019)</t>
  </si>
  <si>
    <t>108/06/09-108/06/17</t>
  </si>
  <si>
    <t>參加會議：ICML2019，發表論文：MetricGAN: Generative Adversarial Networks based Black-box Metric Scores Optimization for Speech Enhancement</t>
  </si>
  <si>
    <t>108/06/08-108/06/15</t>
  </si>
  <si>
    <t>108年7月6日至7月11日，出席於波蘭舉行的【第44屆歐洲生化學會聯盟會議】</t>
  </si>
  <si>
    <t>計畫結餘款-林彥宇老師</t>
  </si>
  <si>
    <t>參加會議：IEEE Computer Society Conference on Computer Vision and Pattern Recognition，發表論文：FSA-Net: Learning Fine-Grained Structure Aggregation for Head Pose Estimation from a Single Image</t>
  </si>
  <si>
    <t>108/06/14-108/06/28</t>
  </si>
  <si>
    <t>9999_計畫結餘款再運用-陳孟彰_MOST107-3011-F-001-001_ACISP 2019</t>
  </si>
  <si>
    <t>108/06/27-108/07/06</t>
  </si>
  <si>
    <t>參加第15屆國際經濟計量理論與應用研討會並發表論文。</t>
  </si>
  <si>
    <t>108/05/31-108/06/02</t>
  </si>
  <si>
    <t>XXth EUROPEAN CARBOHYDRATE SYMPOSIUM</t>
  </si>
  <si>
    <t>奉派前往荷蘭萊登參加「XXth EUROPEAN CARBOHYDRATE SYMPOSIUM」會議並張貼海報。</t>
  </si>
  <si>
    <t>結餘款再運用：林正洪</t>
  </si>
  <si>
    <t>受邀參加 Representation Theory XVI</t>
  </si>
  <si>
    <t>Dubrovnik</t>
  </si>
  <si>
    <t>吳真貞老師計畫結餘款再運用_代9999_HiPEAC 2019</t>
  </si>
  <si>
    <t>108/01/19-108/01/28</t>
  </si>
  <si>
    <t>9999_計畫結餘款再運用-王建民_SCC 2019</t>
  </si>
  <si>
    <t>9999_計畫結餘款再運用-王新民_ Interspeech2019 technical program committee</t>
  </si>
  <si>
    <t>108/06/04-108/06/09</t>
  </si>
  <si>
    <t>108/06/07-108/06/17</t>
  </si>
  <si>
    <t>結餘款再運用-林彥宇老師</t>
  </si>
  <si>
    <t>參加會議：CVPR 2019</t>
  </si>
  <si>
    <t>108/06/14-108/06/24</t>
  </si>
  <si>
    <t>2019 台日植物學年會會議 (Japan-Taiwan Plant Biology, JTPB 2019) 以及 2019 Post-Transcriptional Gene Regulation in Plants (PGRP) 會議</t>
  </si>
  <si>
    <t>參加在美國明尼蘇達州明尼亞波里斯舉行之｢第38屆美國病毒學會年度會議｣。</t>
  </si>
  <si>
    <t>9999_計畫結餘款再運用-許聞廉老師_57th ACL 2019</t>
  </si>
  <si>
    <t>108/07/27-108/08/03</t>
  </si>
  <si>
    <t>ISSCR及iPSCs Symposium &amp; Workshop-Future of Personalised Regenerative Medicine 國際會議</t>
  </si>
  <si>
    <t>參加ISSCR及iPSCs Symposium &amp; Workshop-Future of Personalised Regenerative Medicine 國際會議</t>
  </si>
  <si>
    <t>108/06/24-108/07/05</t>
  </si>
  <si>
    <t>美國(U.S.A.) 馬來西亞(Malaysia)</t>
  </si>
  <si>
    <t>洛杉磯(Los Angeles,California) 吉隆坡(Kuala Lumpur)</t>
  </si>
  <si>
    <t>參加在麻州伊斯頓市舉行之｢杏仁核掌管情緒,認知和疾病的功能｣會議；另應邀到美國麻州波士頓市哈佛大學醫學院與密西根州安娜堡密西根大學參訪及演講。</t>
  </si>
  <si>
    <t>108/07/31-108/08/11</t>
  </si>
  <si>
    <t>Easton 波士頓(Boston,Massachuseetts) Ann Arbor</t>
  </si>
  <si>
    <t>至新加坡參加2019 Asia Oceania Geosciences Society (AOGS)發表研究成果</t>
  </si>
  <si>
    <t>9999_計畫結餘款再運用-張原豪_代9999_ IEEE Real-Time Systems Symposium _TPC Meeting</t>
  </si>
  <si>
    <t>9999_計畫結餘款再運用-張原豪_代9999_ IEEE Real-Time Systems Symposium_(TPC Meeting)</t>
  </si>
  <si>
    <t>計畫結餘款再利用-農生中心楊文欽</t>
  </si>
  <si>
    <t>計畫結餘款再運用-李德財老師</t>
  </si>
  <si>
    <t>參加會議：40th IEEE Symposium on Security and Privacy</t>
  </si>
  <si>
    <t>參加會議：2019 IEEE Conference on Computer Vision and Pattern Recognition，日期：自2019年06月16日至2019年06月20日</t>
  </si>
  <si>
    <t>參加會議：ICML2019</t>
  </si>
  <si>
    <t>長灘市</t>
  </si>
  <si>
    <t>前往新加坡參加2019AOGS會議</t>
  </si>
  <si>
    <t>9999_計畫結餘款再運用-張原豪_ISLPED 2019</t>
  </si>
  <si>
    <t>108/07/27-108/08/08</t>
  </si>
  <si>
    <t>9999_計畫結餘款再運用-呂俊賢_CBDCom 2019</t>
  </si>
  <si>
    <t>9999_計畫結餘款再運用-蔡懷寬_ICSB 2019</t>
  </si>
  <si>
    <t>108/10/30-108/11/06</t>
  </si>
  <si>
    <t>63RA36計畫結餘款再運用-RA36董奕鍾</t>
  </si>
  <si>
    <t>於本次會議中，將對團隊在生醫微流平台操縱氧梯度的研究成果，以壁報形式進行研討會論文發表。</t>
  </si>
  <si>
    <t>108/10/24-108/11/02</t>
  </si>
  <si>
    <t>日本中國語學會第69回全國大會The 69th annual conference of CLSJ</t>
  </si>
  <si>
    <t>出席日本中國語學會第69回全國大會The 69th annual conference of CLSJ宣讀論文</t>
  </si>
  <si>
    <t>108/11/01-108/11/04</t>
  </si>
  <si>
    <t>9999_計畫結餘款再運用-蘇克毅_ACL 2019 Annual Meeting</t>
  </si>
  <si>
    <t>108年7月24日至7月28日，出席於中國昆明舉行的【The 17th SCBA International Symposium】</t>
  </si>
  <si>
    <t>108年7月24日至7月28日，出席於中國昆明舉行的【The 17th International Symposium】</t>
  </si>
  <si>
    <t>108/07/23-108/07/30</t>
  </si>
  <si>
    <t>9999_餘款再運用_林仲彥老師_RIKEN IMS-JSI International Symposium on Immunology 2019</t>
  </si>
  <si>
    <t>9999_計畫結餘款再運用-林仲彥_BioJapan 2019</t>
  </si>
  <si>
    <t>108/10/08-108/10/11</t>
  </si>
  <si>
    <t>108年10月11日至108年10月16日赴美國密西根州，參加第二屆永續及發展國際會議並發表論文。</t>
  </si>
  <si>
    <t>108/10/09-108/10/16</t>
  </si>
  <si>
    <t>密西根州安娜堡</t>
  </si>
  <si>
    <t>整合有機-金屬之鹵化物之鈣鈦礦型結構半導體奈米結構及元件之光學特性研究</t>
  </si>
  <si>
    <t>松江市</t>
  </si>
  <si>
    <t>研究員李定國先生受邀於108年6月14日至6月21日赴大陸江蘇溧陽市參加「Workshop on the Frontiers of Condensed Matter Theory」（6/14-16）與日本東京參加「The international conference on Spectroscopies in Novel Superconductors會議（6/16-21）</t>
  </si>
  <si>
    <t>108/06/14-108/06/21</t>
  </si>
  <si>
    <t>溧陽市 東京(Tokyo)</t>
  </si>
  <si>
    <t>2017年 計畫結餘款</t>
  </si>
  <si>
    <t>至聖地牙哥參加國際光電學會年會8/10-8/14</t>
  </si>
  <si>
    <t>9999_計畫結餘款再運用-穆信成_Formal Method 2019</t>
  </si>
  <si>
    <t>參加 the 8th France-Taiwan Earth Sciences Symposium</t>
  </si>
  <si>
    <t>108/10/19-108/10/28</t>
  </si>
  <si>
    <t>Pau (波)</t>
  </si>
  <si>
    <t>藥用植物研究</t>
  </si>
  <si>
    <t>研究藥用植物在動物和人類健康</t>
  </si>
  <si>
    <t>計畫結餘款再運用-林誠謙</t>
  </si>
  <si>
    <t>林誠謙赴瑞士日內瓦CERN實驗室以及德國法蘭克福分別參加「Grid Deployment Board, GDB」會議，以及「ISC High Performance」會議</t>
  </si>
  <si>
    <t>日內瓦(Geneva) 法蘭克福(Frankfurt)</t>
  </si>
  <si>
    <t>吳建輝計畫結餘款</t>
  </si>
  <si>
    <t>108/06/19-108/06/24</t>
  </si>
  <si>
    <t>108/10/13-108/10/24</t>
  </si>
  <si>
    <t>108年8月25日至8月31日，出席於義大利米蘭舉行的【25th International Symposium on Glycoconjugates】</t>
  </si>
  <si>
    <t>108/08/22-108/09/01</t>
  </si>
  <si>
    <t>9999_計畫結餘款再運用-呂俊賢_CoRL 2019</t>
  </si>
  <si>
    <t>參加在德國海德堡市舉行之「Protein Synthesis and Translational Control」研討會議，會後在海德堡大學實驗室進行實驗。</t>
  </si>
  <si>
    <t>108/09/02-108/10/03</t>
  </si>
  <si>
    <t>參加在日本津(Mie)市舉行之「亞洲真菌會議」。</t>
  </si>
  <si>
    <t>108/09/30-108/10/04</t>
  </si>
  <si>
    <t>000001所方結餘款</t>
  </si>
  <si>
    <t>參加2019國際人類學與民族學會中程大會IUAES 2019 Inter-Congress，發表論文；會後進行訪問研究。</t>
  </si>
  <si>
    <t>108/08/25-108/09/07</t>
  </si>
  <si>
    <t>波茲蘭(Poznan) 華沙(Warsaw)</t>
  </si>
  <si>
    <t>獲邀將在日本大阪“10倍速基因體研究討論大會”給予演講並進行學術交流。</t>
  </si>
  <si>
    <t>108/10/07-108/10/09</t>
  </si>
  <si>
    <t>于若蓉計畫結餘款再運用 (700002)</t>
  </si>
  <si>
    <t>108/09/01-108/09/14</t>
  </si>
  <si>
    <t>出版工作坊Taiwan in transition: Challenges Facing Taiwan's Economy and changing society</t>
  </si>
  <si>
    <t>與英國倫敦亞非學院(SOAS）於9/10-9/11兩天於亞非學院合作舉辦之台灣經濟社會學研究出版工作坊Taiwan in transition: Challenges Facing Taiwan's Economy and changing society</t>
  </si>
  <si>
    <t>參加235TH國際電化學年會,並發表論文</t>
  </si>
  <si>
    <t>參加ICMAT-2019 conference in Singapore並發表論文</t>
  </si>
  <si>
    <t>108年10月17日至10月23日，出席於美國芝加哥舉行的【MCCS 18th Annual Meeting/ Neurosciences 2019 Annual Meeting】</t>
  </si>
  <si>
    <t>應邀參加在日本大阪市舉行之「2019繞射結構生物學國際研討會」會議。</t>
  </si>
  <si>
    <t>108/10/16-108/10/20</t>
  </si>
  <si>
    <t>科技部計畫「應報、責任與人性尊嚴」(MOST103-2410-H-001-020-MY3)計畫結餘款</t>
  </si>
  <si>
    <t>108/06/27-108/07/15</t>
  </si>
  <si>
    <t>琉森(Lucerne) 蘇黎世(Zurich) Grindelwald Hofstetten bei brienz</t>
  </si>
  <si>
    <t>和平地區GPS觀測資料解算計畫</t>
  </si>
  <si>
    <t>訪問加拿大地質調查所並參加2019年IUGG聯合大會</t>
  </si>
  <si>
    <t>蒙特婁(Montreal) 悉德尼(Sidney)(05/01-10/15)</t>
  </si>
  <si>
    <t>9999_計畫結餘款再運用-呂俊賢_CCIOT 2019</t>
  </si>
  <si>
    <t>108/09/19-108/09/23</t>
  </si>
  <si>
    <t>赴日本札幌參加 ICCEOCA-14 / ARNCEOCA-5 會議</t>
  </si>
  <si>
    <t>108/09/26-108/10/01</t>
  </si>
  <si>
    <t>中研院科研基金計畫結餘款再應用</t>
  </si>
  <si>
    <t>分子生物及植物學相關研究計畫</t>
  </si>
  <si>
    <t>108/07/07-108/07/28</t>
  </si>
  <si>
    <t>赴馬來西亞參加ISI 2019會議，並發表邀請論文；參與腦影像分析方法的Session會議</t>
  </si>
  <si>
    <t>磁振腦影像分析會議。</t>
  </si>
  <si>
    <t>參加會議：Interspeech2019，發表論文：Specialized Speech Enhancement Model Selection based on Learned Non-Intrusive Quality Assessment Metric</t>
  </si>
  <si>
    <t>108/09/11-108/09/23</t>
  </si>
  <si>
    <t>9999_計畫結餘款再運用-王新民_Interspeech2019</t>
  </si>
  <si>
    <t>參加會議：INTERSPEECH 2019，發表論文：Speaker-aware Deep Denoising Autoencoder with Embedded Speaker Identity for Speech Enhancement</t>
  </si>
  <si>
    <t>108/09/14-108/09/21</t>
  </si>
  <si>
    <t>參加會議：Interspeech2019，並發表論文</t>
  </si>
  <si>
    <t>108/09/08-108/09/26</t>
  </si>
  <si>
    <t>9999_計畫結餘款再運用-陳郁方_SAT/SMT/AR Summer School 2019</t>
  </si>
  <si>
    <t>108/07/01-108/07/09</t>
  </si>
  <si>
    <t>Transportation related air quality and the impacts on human health</t>
  </si>
  <si>
    <t>108/07/12-108/09/29</t>
  </si>
  <si>
    <t>新加坡(Singapore) 印尼(Indonesia)</t>
  </si>
  <si>
    <t>新加坡(Singapore) 萬隆(Bandung)</t>
  </si>
  <si>
    <t>9999_計畫結餘款再運用-張原豪_Dire Dawa University與Abeya Degefe教授進行移地研究</t>
  </si>
  <si>
    <t>108/07/11-108/09/18</t>
  </si>
  <si>
    <t>衣索匹亞(Ethiopia)</t>
  </si>
  <si>
    <t>Dire Dawa</t>
  </si>
  <si>
    <t>前往比利時Royal of Observatory of Belgium (比利時皇家天文台)進行研究訪問</t>
  </si>
  <si>
    <t>赴義大利里雅斯特Trieste參加2019 ICTP地震斷層力學：理論，模擬和觀測研究培訓課程</t>
  </si>
  <si>
    <t>108/08/31-108/09/16</t>
  </si>
  <si>
    <t>雅斯特Trieste</t>
  </si>
  <si>
    <t>前往美國合作實驗室從事國際合作及移地研究</t>
  </si>
  <si>
    <t>汪宏倫計畫結餘款再運用(年底更為108年度預算)</t>
  </si>
  <si>
    <t>1.獲得美國哈佛燕京學社訪問學人獎助10個月(2018/8/4-2019/6/3)，研究題目為「Understading Nationalisms in East Asia: State,War and Emotion」。 2.獎助期滿後之期間(2019/6/4-2019/8/3)，擬申請科技部108年度補助科學與技術人員國外短期研究補助。如未獲科技部補助，則由個人科研基金支應。</t>
  </si>
  <si>
    <t>107/08/04-108/08/03</t>
  </si>
  <si>
    <t>日本大阪國立民族學博物館館藏文物與文獻資料蒐集計畫</t>
  </si>
  <si>
    <t>因執行「日本大阪國立民族學博物館館藏文物與文獻資料蒐集計畫」需要，前往國立民族學博物館蒐集資料。</t>
  </si>
  <si>
    <t>108/11/10-108/11/17</t>
  </si>
  <si>
    <t>Nanoparticles enabled medicinal product-based delivery</t>
  </si>
  <si>
    <t>During this time, I will be involved in research on the use of targeting exosomes for in-vivo real-time monitoring in the project entitled, “Nanoparticles enabled medicinal product-based delivery”.</t>
  </si>
  <si>
    <t>108/09/28-108/10/27</t>
  </si>
  <si>
    <t>哥倫布市</t>
  </si>
  <si>
    <t>史丹佛大學及達特茅斯移地研究</t>
  </si>
  <si>
    <t>赴俄羅斯the Center for Semiconductor Microelectronics of the Institute for Automation and Control Processes (IACP), Far-Eastern Branch of Russian Academy of Sciences (FEB RAS)進行學術交流</t>
  </si>
  <si>
    <t>108/05/23-108/07/12</t>
  </si>
  <si>
    <t>廖弘源老師計畫結餘款再運用_(9999)_2019 Consumer Electronics Show</t>
  </si>
  <si>
    <t>108/01/08-108/01/15</t>
  </si>
  <si>
    <t>拉斯維加斯</t>
  </si>
  <si>
    <t>約聘助理王雅嫻小姐擬於108年11月16日起至108年11月24日止赴南韓Pohang Accelerator Laboratory (PAL)進行X光相關實驗</t>
  </si>
  <si>
    <t>108/11/16-108/11/24</t>
  </si>
  <si>
    <t>108/01/08-108/01/13</t>
  </si>
  <si>
    <t>研究員胡宇光先生擬於108年04月15日起至108年04月22日止赴赴南韓Pohang Accelerator Laboratory (PAL)進行X光相關研究(實驗)</t>
  </si>
  <si>
    <t>108/04/15-108/04/22</t>
  </si>
  <si>
    <t>浦項 上海(Shanghai)</t>
  </si>
  <si>
    <t>社群網站實名制對使用者隱私權與自由權影響之評估(MOST 106-2410-H-001-059)計畫結餘款</t>
  </si>
  <si>
    <t>李宗澤先生擬於108年05月11日起至108年05月26日止應邀赴日本兵庫縣SPring-8進行X光相關研究</t>
  </si>
  <si>
    <t>研究員胡宇光先生擬於108年05月11日起至108年05月26日止應邀赴日本兵庫縣SPring-8及韓國Pohang Accelerator Laboratory (PAL)進行X光相關研究(實驗)</t>
  </si>
  <si>
    <t>兵庫 浦項</t>
  </si>
  <si>
    <t>研究員胡宇光先生擬於108年05月29日起至108年06月07日止前往南韓Pohang Accelerator Laboratory (PAL)進行X光相關研究</t>
  </si>
  <si>
    <t>108/05/29-108/06/07</t>
  </si>
  <si>
    <t>108/08/02-108/08/30</t>
  </si>
  <si>
    <t>shizuoka Shizuoka</t>
  </si>
  <si>
    <t>陳穎劼先生擬於108年04月28日起至108年05月05日止受邀前往新加坡National University of Singapore進行生物顯像之相關發展研究</t>
  </si>
  <si>
    <t>108/04/28-108/05/05</t>
  </si>
  <si>
    <t>李宗澤先生擬於108年04月28日起至108年05月04日止受邀前往新加坡National University of Singapore進行生物顯像之相關發展研究</t>
  </si>
  <si>
    <t>謝清河赴美國威斯康辛大學麥迪遜校區進行國際研究合作交流</t>
  </si>
  <si>
    <t>108/04/24-108/06/18</t>
  </si>
  <si>
    <t>威斯康辛</t>
  </si>
  <si>
    <t>楊舜閔先生擬於108年4月28日起至108年5月1日止受邀前往新加坡National University of Singapore進行生物顯像之相關發展研究</t>
  </si>
  <si>
    <t>108/04/28-108/05/01</t>
  </si>
  <si>
    <t>“Theoretical and experimental study if nanostructures based on GaSb-Si for thermoelectric conversion”</t>
  </si>
  <si>
    <t>擬於108年9月27日至10月4日(共8日)赴俄羅斯the Institute for Automation and Control Processes (IACP), Far-Eastern Branch of Russian Academy of Sciences (FEB RAS)進行學術交流，並討論台俄合作計畫</t>
  </si>
  <si>
    <t>108/09/27-108/10/04</t>
  </si>
  <si>
    <t>黃啟峰先生擬於108年03月26日起至108年04月15日止應邀赴日本兵庫縣SPring-8進行X光相關實驗</t>
  </si>
  <si>
    <t>108/03/26-108/04/18</t>
  </si>
  <si>
    <t>約聘助理林仁豪美國威斯康辛大學麥迪遜校區學術交流及協助執行動物實驗</t>
  </si>
  <si>
    <t>約聘助理林仁豪前往威斯康辛大學麥迪遜校區進行學術交流、協助執行大動物及非人類靈長類動物實驗，並觀摩學習新技術，。</t>
  </si>
  <si>
    <t>108/05/21-108/06/02</t>
  </si>
  <si>
    <t>研究員胡宇光先生擬於108年04月28日起至108年04月30日受邀前往新加坡National University of Singapore進行生物顯像之相關發展研究。</t>
  </si>
  <si>
    <t>108/04/28-108/04/30</t>
  </si>
  <si>
    <t>赴美國華盛頓特區威爾森國際學者中心 (The Wilson Center)短期研究，研究計畫主題為The Security of US-China Economic Relation and its Implication for Taiwan</t>
  </si>
  <si>
    <t>108/07/06-108/09/01</t>
  </si>
  <si>
    <t>蘇克毅老師_計畫結餘款再運用_移地研究_英國愛丁堡大學</t>
  </si>
  <si>
    <t>移地研究_日本東京成蹊大學 visiting Professor Osamu Komori at Seikei University, Tokyo, for a joint research project.</t>
  </si>
  <si>
    <t>I will give some talks, then we can have thorough discussions based on that. Hopefully, we can have a new joint research project in the future.</t>
  </si>
  <si>
    <t>108/10/28-108/11/01</t>
  </si>
  <si>
    <t>前往義大利佛羅倫斯European University Institute(EUI)進行短期研究。</t>
  </si>
  <si>
    <t>108/09/30-108/11/29</t>
  </si>
  <si>
    <t>江淮官話田野調查</t>
  </si>
  <si>
    <t>108/11/19-108/11/30</t>
  </si>
  <si>
    <t>淮安</t>
  </si>
  <si>
    <t>700011　湯熙勇計畫結餘款再運用</t>
  </si>
  <si>
    <t>為執行「日治臺灣總督府經營太平島（長島）的歷程及意涵（1918-1945）--兼論2016年海牙國際法庭仲裁太平島為岩礁的適切性」研究計畫，赴日本東京國立公文書館、國會圖書館、東京大學アジア研究圖書館及亞洲歷史資料中心收集等機構收集研究資料。</t>
  </si>
  <si>
    <t>108/12/15-108/12/20</t>
  </si>
  <si>
    <t>計劃結餘款再運用-周家復</t>
  </si>
  <si>
    <t>陳炳烸赴美國華盛頓大學研究返台處理抗體製備工作</t>
  </si>
  <si>
    <t>108/08/23-108/12/31</t>
  </si>
  <si>
    <t>赴美國的Aerodyne公司學習儀器設備(TILDAS Monitor)的操作使用</t>
  </si>
  <si>
    <t>108/01/29-108/02/05</t>
  </si>
  <si>
    <t>計畫結餘款再運用J70027</t>
  </si>
  <si>
    <t>因執行研究計畫需要，奉派前往日本大阪府吹田市之「大阪大學蛋白質研究所」進行減數分裂染色體動態變化之實驗。</t>
  </si>
  <si>
    <t>108/02/18-108/03/01</t>
  </si>
  <si>
    <t>吹田市(Suita-Shi)</t>
  </si>
  <si>
    <t>謝國興研究員結餘款再運用（600004）項下</t>
  </si>
  <si>
    <t>長期進行臺灣與宗教相關之文化資產及非物質文化遺產相關研究，參與國立臺北藝術大學建築與文化資產研究所林會承教授率領之參訪考察團隊，前往孟加拉達卡、古城波哥拉、沙瓦、丹哥兒等地區實地考察當地世界文化賌產與重要歷史文化資產,以收集比較研究資料及增進國際視野。</t>
  </si>
  <si>
    <t>108/01/31-108/02/08</t>
  </si>
  <si>
    <t>孟加拉(Bangladesh)</t>
  </si>
  <si>
    <t>達卡(Dhaka) 波哥拉、巴布那、庫爾那、遜達爾邦新</t>
  </si>
  <si>
    <t>陳宗仁個人結餘款再運用(600016)項下</t>
  </si>
  <si>
    <t>為編輯「閩南－西班牙語歷史文獻叢書」所需，赴英國大英圖書館、牛津大學圖書館蒐集及閱讀文獻資料以及前往西班牙巴塞隆納大學圖書館查閱該校典藏之馬尼拉唐人辭典資料。</t>
  </si>
  <si>
    <t>108/04/14-108/05/04</t>
  </si>
  <si>
    <t>英國(United Kingdom) 西班牙(Spain)</t>
  </si>
  <si>
    <t>倫敦(London) 巴塞隆納(Barcelona)</t>
  </si>
  <si>
    <t>博士後研究陳翔欣小姐擬於108年10月23日起至108年11月08日止前往仙台參與The 15th Symposium of Japanese Research Community on X-ray Imaging Optics會議進行新知研討，結束後赴日本兵庫縣SPring-8進行X光相關研究</t>
  </si>
  <si>
    <t>108/10/23-108/11/08</t>
  </si>
  <si>
    <t>仙台 兵庫縣</t>
  </si>
  <si>
    <t>博士後研究陳翔欣小姐擬於108年11月11日起至108年11月18日止赴南韓Pohang Acceler進行X光相關研究</t>
  </si>
  <si>
    <t>鄭宇哲美國威斯康辛大學麥迪遜校區進行國際研究合作交流案</t>
  </si>
  <si>
    <t>計畫結餘款再運用: 陳怡全</t>
  </si>
  <si>
    <t>執行農業施肥對大氣反應性氮化物收支及空氣品質之影響研究計畫-農業施肥對大氣反應性氮化物收支及空氣品質之影響之需，跟美國Aerodyne Research公司購買TILDAS Monitor儀器，這套儀器可以測量空氣中的硝酸氣(HNO3)和亞硝酸氣(HONO)，此行赴美國Aerodyne Research公司，學習TILDAS Monitor儀器的操作使用和校正維護.</t>
  </si>
  <si>
    <t>林明煌德國Bruker原廠之AIC訓練課程。</t>
  </si>
  <si>
    <t>德國Bruker原廠之AIC(Advanced Imaging Courses)訓練課程。</t>
  </si>
  <si>
    <t>Ettlingen</t>
  </si>
  <si>
    <t>童宇吟德國Bruker原廠之AIC訓練課程。</t>
  </si>
  <si>
    <t>實習</t>
    <phoneticPr fontId="2" type="noConversion"/>
  </si>
  <si>
    <t>大陸地區</t>
  </si>
  <si>
    <t>柯西黎曼不變子流形, 奇異山邊問題及複/極小子流形?G近(鄭日新)_107-2115-M-001-011-</t>
  </si>
  <si>
    <t>受邀參加 Workshop on Geometric Analysis</t>
  </si>
  <si>
    <t>福建</t>
  </si>
  <si>
    <t>李超代數的BGG模範疇(程舜仁)_106-2115-M-001-008-MY3</t>
  </si>
  <si>
    <t>受邀出席 International Conference on Representation Theory VIII;受邀出席 16th Chinese Conference in Lie Algebras</t>
  </si>
  <si>
    <t>黑龍江 山東</t>
  </si>
  <si>
    <t>哈爾濱(Harbin) 青島(Quingdao)</t>
  </si>
  <si>
    <t>受邀出席International Conference on Nevanlinna theory and complex hyperbolicity</t>
  </si>
  <si>
    <t>108/07/23-108/07/28</t>
  </si>
  <si>
    <t>上海市</t>
  </si>
  <si>
    <t>李超代數的BGG模範疇_106-2115-M-001-008-MY3</t>
  </si>
  <si>
    <t>受邀出席國際會議 International Symposium on “Advances and Perspectives in Representation Theory”</t>
  </si>
  <si>
    <t>山東</t>
  </si>
  <si>
    <t>青島(Quingdao)</t>
  </si>
  <si>
    <t>受邀參加Tianyuan International Workshop in Several Complex Variables;受邀於復旦大學移地研究;受邀參加2019 Workshop on Geometric Analysis</t>
  </si>
  <si>
    <t>108/07/29-108/08/13</t>
  </si>
  <si>
    <t>吉林 上海市</t>
  </si>
  <si>
    <t>長春(Changchun) 上海(Shanghai)</t>
  </si>
  <si>
    <t>受邀至福建師範大學移地研究</t>
  </si>
  <si>
    <t>108/02/25-108/03/03</t>
  </si>
  <si>
    <t>福州(Fuzhou)</t>
  </si>
  <si>
    <t>108/05/29-108/05/31</t>
  </si>
  <si>
    <t>受邀至香港大學移地研究</t>
  </si>
  <si>
    <t>108/02/01-108/02/15</t>
  </si>
  <si>
    <t>香港</t>
  </si>
  <si>
    <t>江蘇</t>
  </si>
  <si>
    <t>受邀至上海交通大學移地研究</t>
  </si>
  <si>
    <t>108/03/01-108/04/15</t>
  </si>
  <si>
    <t>快擴散方程奇異解和特性的研究(許健明)_107-2115-M-001-005-</t>
  </si>
  <si>
    <t>受邀至北京航空航天大學移地研究</t>
  </si>
  <si>
    <t>北京市</t>
  </si>
  <si>
    <t>北京(Beijing)</t>
  </si>
  <si>
    <t>受邀出國移地研究：中國上海交通大學</t>
  </si>
  <si>
    <t>108/11/01-108/11/27</t>
  </si>
  <si>
    <t>蒙地卡羅馬氏過程及其在隨機動力系統的相關問題(黃?珝?_107-2115-M-001-008-</t>
  </si>
  <si>
    <t>受邀至吉林大學移地研究</t>
  </si>
  <si>
    <t>108/07/10-108/07/16</t>
  </si>
  <si>
    <t>吉林</t>
  </si>
  <si>
    <t>長春(Changchun)</t>
  </si>
  <si>
    <t>6/14-6/18參加「Conformal Geometry and Related PDEs」暑期課程 6/19-6/23參加「Workshop on Geometric Analysis」</t>
  </si>
  <si>
    <t>受邀訪問中國蘇州大學</t>
  </si>
  <si>
    <t>108/07/06-108/07/27</t>
  </si>
  <si>
    <t>蘇州(Suzhou)</t>
  </si>
  <si>
    <t>受邀出國移地研究：中國科學院</t>
  </si>
  <si>
    <t>108/10/21-108/11/19</t>
  </si>
  <si>
    <t>受邀出國移地研究：中國蘇州大學</t>
  </si>
  <si>
    <t>108/10/20-108/11/03</t>
  </si>
  <si>
    <t>結餘款再運用:林正洪</t>
  </si>
  <si>
    <t>受邀參加Conference on Vertex operator algebras and related topics</t>
  </si>
  <si>
    <t>成都(Chengdu)</t>
  </si>
  <si>
    <t>受邀出席國際會議 Third International Conference on Mathematics of Data Science</t>
  </si>
  <si>
    <t>000015-林正洪</t>
  </si>
  <si>
    <t>結餘款再運用: 林正洪</t>
  </si>
  <si>
    <t>受邀至北京大學移地研究</t>
  </si>
  <si>
    <t>108/06/04-108/06/11</t>
  </si>
  <si>
    <t>受邀參加 The Joint International Meeting of the American Mathematical Society and the Vietnamese Mathematical Society [Special Session on Value Distribution Theory, Complex Geometry, Diophantine Approximation, and Related Topics</t>
  </si>
  <si>
    <t>Oberwolfach,Germany： Nonlinear Hyperbolic Problems: modeling, analysis,and numerics;Moscow, Russia： Visit Russian Academy of Science ; Maiori, Italy： XX International Conference WASCOM 2019</t>
  </si>
  <si>
    <t>受邀參加「Recent advances in the arithmetic of Galois representations」</t>
  </si>
  <si>
    <t>受邀至Tokyo Woman Christian University移地研究;受邀至Tohoku University移地研究; 受邀參加Kusatsu Group Theory Seminar</t>
  </si>
  <si>
    <t>受邀出席國際會議 27th British Combinatorial Conference</t>
  </si>
  <si>
    <t>參訪日本湘南（iPARK）MIT Startup Showcase活動</t>
  </si>
  <si>
    <t>湘南</t>
  </si>
  <si>
    <t>本次與會重點在於觀摩Slush如何連結歐洲與全球重要新創生態系，透過活動與議程設計，媒合跨國企業、創投基金、機構投資人與新創團隊，並觀察台灣生醫與數位新創團隊之國際表現，同時也與各國與會企業、創投、新創交流，收集新創生態系之趨勢與情報。</t>
  </si>
  <si>
    <t>德國(Germany) 芬蘭(Finland)</t>
  </si>
  <si>
    <t>杜塞爾多夫(Duesseldorf) 赫爾辛基(Helsinki)</t>
  </si>
  <si>
    <t>由本院劉扶東副院長、本園區營運中心王惠鈞代執行長、周玉山副執行長、創服育成中心詹益鑑助理執行長、袁佩宜博士代表出席日本湘南Shonan Health Innovation Park （iPARK） 參訪活動，期就後續簽訂雙邊合作意向書，強化未來雙邊人員交流、創投及新創公司合作、研究合作、互補性優勢服務及資訊之提供進一步交流與討論。</t>
  </si>
  <si>
    <t>108/04/15-108/04/16</t>
  </si>
  <si>
    <t>Shonan Health Innovation Park （iPARK）位於日本神奈川縣湘南市，為日本推動生技醫藥創業育成為主之園區，邀請本院劉扶東副院長、國家生技研究園區營運中心王惠鈞代執行長、周玉山副執行長、創服育成中心詹益鑑助理執行長及袁佩宜博士代表出席本次iPARK園區參訪，期就後續簽訂雙邊合作意向書，強化未來雙邊人員交流、創投及新創公司合作、研究合作、互補性優勢服務及資訊之提供。</t>
  </si>
  <si>
    <t>日本湘南iPARK參訪活動 湘南iPARK為日本推動生技醫藥創業育成為主之園區，本園區代表於108年4月15~16日參訪iPARK園區，期就後續簽訂雙邊合作意向書，強化未來雙邊人員交流、創投及新創公司合作、研究合作、互補性優勢服務及資訊之提供。</t>
  </si>
  <si>
    <t>2019參加美國生技大會</t>
  </si>
  <si>
    <t>108/05/29-108/06/08</t>
  </si>
  <si>
    <t>波士頓(Boston,Massachuseetts) 費城(Philadelphia,Pennsylvania)</t>
  </si>
  <si>
    <t>台北生技論壇暨舊金山/波士頓參訪 國家生技研究園區位於南港生技產業及研發聚落的核心區域，未來將與台北市南港生技聚落（現址忠孝營區）密切合作，參訪團與論壇特邀請創服育成中心參與本次行程，共同觀摩波士頓之產官學研單位合作方式，並與當地台灣生醫領域青年人才及新創企業交流。</t>
  </si>
  <si>
    <t>隨著國家生技研究園區（以下簡稱本園區）的落成，以及創服育成中心Biohub Taiwan（以下簡稱本中心）的籌備，為了理解國際生技產業發展近況，以及台灣生技新創在國際連結與事業發展之需求，並推廣本計畫於園區之技術服務業務，代表本中心參與於橫濱舉辦之BIOJAPAN 2019日本生技展會，並於大會中發表BioHub Taiwan介紹，此外也參與產業相關論壇與聚會，交流產業與人才情報。</t>
  </si>
  <si>
    <t>108/10/07-108/10/10</t>
  </si>
  <si>
    <t>國家生技研究園區其下之創服育成中心，依工作性質在聯合委員會督促下，協助臺灣生技產業連結國際，加速進駐新創團隊商化早期研發成果。本次行程代表國家生技研究園區創服育成中心，於108年10月陪同詹益鑑助執行長及財團法人生物技術開發中心偕同經濟部生技醫藥產業發展推動小組參加BioJapan日本年度生技大展，強化未來雙邊人員交流、加強國際行銷、創投及新創公司合作、研究合作、互補性優勢服務。</t>
  </si>
  <si>
    <t>參加經濟部生技醫業產業發展推動小組籌辦之BioJapan 2019臺灣生技醫藥產業團活動，期透過展會平台進行臺灣與日本及國際生技製藥產業交流，提升臺灣之國際能見度，強化國際合作交流機會。</t>
  </si>
  <si>
    <t>科技部補助國內專家學者出席國際學術會議108-2914-I-001-034-A1</t>
  </si>
  <si>
    <t>本會議為世界生物無機會議，為每兩年聚集世界生物無機相關領域之學者之聚會，會中有Plenary,Keynote及Invited speakers來演講，亦有超過400篇海報，經由此會議，可將發表近期的研究成果及與專家學者討論。</t>
  </si>
  <si>
    <t>108/08/08-108/08/18</t>
  </si>
  <si>
    <t>Interlaken</t>
  </si>
  <si>
    <t>數學所</t>
    <phoneticPr fontId="3" type="noConversion"/>
  </si>
  <si>
    <t>數學所小計</t>
    <phoneticPr fontId="3" type="noConversion"/>
  </si>
  <si>
    <t>受邀於CICC-11給予演講並與相關領域專家學者進行學術交流</t>
  </si>
  <si>
    <t>雲南</t>
  </si>
  <si>
    <t>The conference aims to provide a professional platform to share latest scientific advances, renew our friendship and facilitate academic collaborations.</t>
  </si>
  <si>
    <t>108/08/22-108/08/27</t>
  </si>
  <si>
    <t>三陰性乳腺癌的藥物發展與開發_108-3111-Y-001-056</t>
  </si>
  <si>
    <t>受邀出席2019中國藥物化學學術會議暨中歐藥物化學研討會演講</t>
  </si>
  <si>
    <t>108/08/14-108/08/18</t>
  </si>
  <si>
    <t>四川</t>
  </si>
  <si>
    <t>化學所</t>
    <phoneticPr fontId="3" type="noConversion"/>
  </si>
  <si>
    <t>赴大阪出席52nd annual meeting of JSDB 國際會議暨發表論文</t>
  </si>
  <si>
    <t>赴德國海德堡出席EMBO Workshop-Chromatin and Epigenetics會議暨發表論文</t>
  </si>
  <si>
    <t>參加由世界水產養殖學會於美國紐澳良舉辦之Aquaculture 2019國際會議。並於會後參觀會議展覽之最新水產養殖技術及產業創新，並與參展貿易商及會議重要人士進行交流</t>
  </si>
  <si>
    <t>赴美國亞特蘭大出席2019年美國癌症研究學會之年會並於會中發表論文及前往美國休士頓出席美國國家發明學會第8屆年會</t>
  </si>
  <si>
    <t>赴美國達拉斯參加第60屆果蠅研究會議，並於會議中以海報發表方式呈現研究成果。</t>
  </si>
  <si>
    <t>受邀赴印度清柰參加奇沃特水產養殖世界會議（BRAQCON 2019）暨發表演說論文</t>
  </si>
  <si>
    <t>赴美國參加FASEB Science Research Conference (SRC)學術會議並發表研究成果</t>
  </si>
  <si>
    <t>赴美國蒙特雷出席2019 斑馬魚研究者策略會議並發表論文</t>
  </si>
  <si>
    <t>受邀赴南韓首爾出席第八屆腦下垂體和生殖腺生物國際會議並擔任會議主席</t>
  </si>
  <si>
    <t>赴美國洛杉磯參加 ISSCR 2019 年度國際會議暨發表論文</t>
  </si>
  <si>
    <t>參加第三屆PASEDB-3國際會議暨發表論文</t>
  </si>
  <si>
    <t>赴美國奧蘭多出席美國骨與骨礦物質研究學會（ASBMR）2019年會暨發表論文</t>
  </si>
  <si>
    <t>赴日本靜岡出席2019海洋生物科技國際研討會暨發表論文</t>
  </si>
  <si>
    <t>赴西班牙塞維亞參加SEB(實驗動物學會年會)會議暨發表論文</t>
  </si>
  <si>
    <t>科技部107年度(第56屆)補助科學與技術人員國外短期研究經費,計畫名稱:定義Set 1組蛋白甲基轉移酶在著絲粒功能中的作用(107-2918-I-001-003)</t>
  </si>
  <si>
    <t>1.帶職帶薪前往美國福瑞德·哈金森癌症研究中心 (Fred Hutchinson Cancer Research Center) Dr. Sue Biggins 研究員實驗室進行研究 2.7/15~7/20參加國際研討會</t>
  </si>
  <si>
    <t>107/01/01-107/07/31</t>
  </si>
  <si>
    <t>丹佛(Denver,Colorado) 西雅圖(Seattle,Washington)</t>
  </si>
  <si>
    <t>108-2914-I-001-008-A1</t>
  </si>
  <si>
    <t>參加國際研討會(30th International Conference on Arabidopsis Research, ICAR)</t>
  </si>
  <si>
    <t>湖北</t>
  </si>
  <si>
    <t>武漢(Wu Han)</t>
  </si>
  <si>
    <t>植微所</t>
    <phoneticPr fontId="3" type="noConversion"/>
  </si>
  <si>
    <t>34A004趙光裕老師科技部計畫結餘款</t>
  </si>
  <si>
    <t>參加"第一屆真菌天然產物生物合成研討會"，並進行口頭報告</t>
  </si>
  <si>
    <t>108/10/18-108/10/20</t>
  </si>
  <si>
    <t>至中國昆明開全球華人生物學家大會</t>
  </si>
  <si>
    <t>赴大陸蘇州參加亞洲冷泉港所舉辦之國際學術研討會 "Cross-Scale Biological Structure: From Macromolecular Complexes and Organelles to Cells and Tissues"</t>
  </si>
  <si>
    <t>108/09/02-108/09/07</t>
  </si>
  <si>
    <t>生化所</t>
    <phoneticPr fontId="3" type="noConversion"/>
  </si>
  <si>
    <t>小計</t>
    <phoneticPr fontId="3" type="noConversion"/>
  </si>
  <si>
    <t>赴杭州參加中國礦物岩石地球化學學會第17屆學術年會</t>
  </si>
  <si>
    <t>108/04/18-108/04/22</t>
  </si>
  <si>
    <t>浙江</t>
  </si>
  <si>
    <t>杭州(Hangzhou)</t>
  </si>
  <si>
    <t>赴中國大陸合肥參加“第四屆物質與輻射於極端條件下國際會議”</t>
  </si>
  <si>
    <t>安徽</t>
  </si>
  <si>
    <t>合肥</t>
  </si>
  <si>
    <t>4/19-4/22赴杭州參加中國礦物岩石地球化學學會第17屆學術年會，4/23-4/24赴北京中科院地質與地球物理研究所進行實驗分析</t>
  </si>
  <si>
    <t>浙江 北京市</t>
  </si>
  <si>
    <t>杭州(Hangzhou) 北京(Beijing)</t>
  </si>
  <si>
    <t>赴中國大陸廣東深圳參加南方科技大學海洋科學研討會</t>
  </si>
  <si>
    <t>廣東</t>
  </si>
  <si>
    <t>深圳(Shenzhen)</t>
  </si>
  <si>
    <t>臺灣GPS連續觀測資料與環?狾]子、地表變形及斷層暫?A滑移之關聯性及其物理過?{_104-2628-M-001-008-MY4</t>
  </si>
  <si>
    <t>赴中國大陸上海同濟大學參加西太平洋邊緣海地球動力學國際研討會</t>
  </si>
  <si>
    <t>地球所</t>
    <phoneticPr fontId="3" type="noConversion"/>
  </si>
  <si>
    <t>參加重力與等離子體研討會(Gravity meets Plasma Workshop)</t>
  </si>
  <si>
    <t>內地核細微波速構造</t>
  </si>
  <si>
    <t>內地核細微波速構造 Xiaodong Song 教授和 Li Zhao 教授是國際知名地震學專家，其專長是地球深部構造，此研討會旨在促進大陸與台灣間在地球深部構造、地震學、地震災防等議題，進行交流。</t>
  </si>
  <si>
    <t>108/07/15-108/07/18</t>
  </si>
  <si>
    <t>恩施</t>
  </si>
  <si>
    <t>赴南京大學出席第八屆(2019)海峽兩岸「特提斯-青藏高原地質演化」學術交流會</t>
  </si>
  <si>
    <t>108/04/12-108/04/17</t>
  </si>
  <si>
    <t>前往合肥工業大學進行實驗分析</t>
  </si>
  <si>
    <t>108/01/31-108/02/28</t>
  </si>
  <si>
    <t>安徽省</t>
  </si>
  <si>
    <t>合肥市</t>
  </si>
  <si>
    <t>赴中經合北京辦事處討論工作計畫及實驗操作流程</t>
  </si>
  <si>
    <t>赴深圳 Alpha Ring 實驗室討論實驗操作細節與流程及工作計畫</t>
  </si>
  <si>
    <t>地殼構造與地表變形相關性調查研究_107-2116-M-001-017-</t>
  </si>
  <si>
    <t>至Institute of Geophysics and Geomatics, China University of Geosciences進行 “Common-mode ground vibrations before the earthquake”研究結果分析以及地震前兆之學技術交流</t>
  </si>
  <si>
    <t>108/05/22-108/05/25</t>
  </si>
  <si>
    <t>赴中國大陸三亞中國科學院深海科學與工程研究所從事移地研究</t>
  </si>
  <si>
    <t>108/07/21-108/07/28</t>
  </si>
  <si>
    <t>海南</t>
  </si>
  <si>
    <t>三亞(Sanya)</t>
  </si>
  <si>
    <t>10/5-10/7赴北京中國地震局地殼應力研究所進行野外行前討論，10/8-10/26赴拉薩進行野外地質考察及採樣，10/27於成都轉機返台</t>
  </si>
  <si>
    <t>107/10/05-107/10/28</t>
  </si>
  <si>
    <t>北京市 西藏</t>
  </si>
  <si>
    <t>北京(Beijing) 拉薩(Lhasa)</t>
  </si>
  <si>
    <t>前往香港大學進行實驗分析</t>
  </si>
  <si>
    <t>108/07/31-108/08/10</t>
  </si>
  <si>
    <t>台灣及鄰近地區地體動力學研究III (GOTTA III)-建構南海地震網與推動周邊地體構造與地震防災研究_108-2116-M-001-010-MY3</t>
  </si>
  <si>
    <t>至北京中國科學院地質與地球物理研究所及青島海洋地質研究所進行學術報告與交流</t>
  </si>
  <si>
    <t>北京市 山東</t>
  </si>
  <si>
    <t>北京(Beijing) 青島(Quingdao)</t>
  </si>
  <si>
    <t>6/12-7/1赴北京中科院進行實驗分析，7/2-7/3赴香港大學進行實驗分析</t>
  </si>
  <si>
    <t>108/06/12-108/07/20</t>
  </si>
  <si>
    <t>北京市 香港</t>
  </si>
  <si>
    <t>北京(Beijing) 香港(Hong Kong)</t>
  </si>
  <si>
    <t>赴香港大學進行實驗分析</t>
  </si>
  <si>
    <t>108/05/21-108/07/01</t>
  </si>
  <si>
    <t>前往北京中科院地質與地球物理研究所進行實驗分析</t>
  </si>
  <si>
    <t>108/08/06-108/08/15</t>
  </si>
  <si>
    <t>越過西藏(II)：亞洲造山演化與大陸板塊構造的新視野(4/5)_108-2639-M-001-002-ASP</t>
  </si>
  <si>
    <t>赴北京中科院地質與地球物理研究所進行電子探針實驗</t>
  </si>
  <si>
    <t>108/09/22-108/10/05</t>
  </si>
  <si>
    <t>赴北京中科院地質與地球物理研究所進行實驗分析</t>
  </si>
  <si>
    <t>108/10/23-108/10/27</t>
  </si>
  <si>
    <t>赴中國大陸四川西南交通大學進行研究及學術討論</t>
  </si>
  <si>
    <t>107/12/27-108/01/01</t>
  </si>
  <si>
    <t>赴中國科學院地質與地球物理研究所進行岩樣分析與測定</t>
  </si>
  <si>
    <t>108/11/11-108/11/14</t>
  </si>
  <si>
    <t>赴廣州地化所進行實驗分析</t>
  </si>
  <si>
    <t>108/11/19-108/11/21</t>
  </si>
  <si>
    <t>廣州(Guangzhou)</t>
  </si>
  <si>
    <t>前往南京信息工程大學進行"遙感測繪技術與應用"的研究訪問</t>
  </si>
  <si>
    <t>雲端財富及風險管理：投資策略與智能交易技術與高效率演算法開發研究-雲端財?I及風險管理：投資策略與?_107-2218-E-001-009-</t>
  </si>
  <si>
    <t>P18015_雲端財富及風險管理：投資策略與智能交易技術與高效率演算法開發研究－雲端財富及風險管理：投資策略與智能交易技術與高效率演算法開發研究(2/3) _MOST107-2218-E-001-009_CIFEr 2019</t>
  </si>
  <si>
    <t>P18043_以圖形處理器運算為基礎之行動社群網路探勘-基於使用者移動模式分析之社群運算支援圖演化推論與社群網路錯誤偵測(3/3)_MOS107-2218-E-002-010_IEEE ICC 2019</t>
  </si>
  <si>
    <t>P18024_沉浸式混合實境之資料查詢技術開發與研究_MOST107-2221-E-001-011-MY3_IEEE ICDE 2019</t>
  </si>
  <si>
    <t>澳門</t>
  </si>
  <si>
    <t>澳門(Macau)</t>
  </si>
  <si>
    <t>多樣化社群直播群組推薦技術研究_106-2221-E-001-015-MY2</t>
  </si>
  <si>
    <t>E725_MOST106-2221-E-001-015-MY2_多樣化社群直播群組推薦技術研究_IEEE ICDE 2019</t>
  </si>
  <si>
    <t>基於參與式城市感測之懸浮微粒量測研究_105-2221-E-001-016-MY3</t>
  </si>
  <si>
    <t>E625_基於參與式城市感測之懸浮微粒量測研究_MOST 105-2221-E-001-016-MY3_AA金2019</t>
  </si>
  <si>
    <t>E623_自動化生成和驗證高效安全不洩漏旁通道資訊的密碼學程式_MOST105-2221-E-001-014-MY3_PQCrypto 2019)</t>
  </si>
  <si>
    <t>108/05/07-108/05/11</t>
  </si>
  <si>
    <t>重慶市</t>
  </si>
  <si>
    <t>重慶(Chongqing)</t>
  </si>
  <si>
    <t>虛擬實境之社群網路群組物件推薦_108-2221-E-001-002-</t>
  </si>
  <si>
    <t>P19033 虛擬實境之社群網路群組物件推薦_ACM CIKM 2019</t>
  </si>
  <si>
    <t>108/11/02-108/11/08</t>
  </si>
  <si>
    <t>P19012_應用於先進製程之大數據智慧分析與決策系統1/4_MOST108-2634-F-007-010_ICME 2019</t>
  </si>
  <si>
    <t>108/07/07-108/07/14</t>
  </si>
  <si>
    <t>P18026_深度感知學習網路--以深度學習實現壓縮感知_MOST107-2221-E-001-015-MY2_ICME 2019</t>
  </si>
  <si>
    <t>P19004_建構概念為本且具語義結合性的中文知識庫(1/4)_MOST108-2634-F-001-006_CLSW2019</t>
  </si>
  <si>
    <t>108/06/27-108/07/02</t>
  </si>
  <si>
    <t>大數據資安防禦_05T-1070104-1C</t>
  </si>
  <si>
    <t>P18018_大數據資安防禦-05T-1070104-1C_SPARS 2019</t>
  </si>
  <si>
    <t>108/07/04-108/07/11</t>
  </si>
  <si>
    <t>P19031_增強外在情境及內在情感感知之多模式深度智慧文本理解與生成 _MOST108-2221-E-001-012-MY3_IJCAI 2019</t>
  </si>
  <si>
    <t>108/08/11-108/08/15</t>
  </si>
  <si>
    <t>9999_計畫結餘款再運用-陳文村_IEEE MDM 2019</t>
  </si>
  <si>
    <t>108/06/09-108/06/14</t>
  </si>
  <si>
    <t>9999_陳伶志老師計畫結餘款_AAC 2019</t>
  </si>
  <si>
    <t>9999_計畫結餘款再運用-楊得年_CIKM 2019</t>
  </si>
  <si>
    <t>108/11/02-108/11/07</t>
  </si>
  <si>
    <t>9999_計畫結餘款再運用-馬偉雲_EMNLP workshop - DeepLo 2019</t>
  </si>
  <si>
    <t>9999_計畫結餘款再運用-王新民_APSIPA ASC 2019</t>
  </si>
  <si>
    <t>甘肅</t>
  </si>
  <si>
    <t>108/11/17-108/11/22</t>
  </si>
  <si>
    <t>9999_計畫結餘款再運用-呂及人_EMNLP - IJCNLP 2019</t>
  </si>
  <si>
    <t>資訊所</t>
    <phoneticPr fontId="3" type="noConversion"/>
  </si>
  <si>
    <t>9999_計畫結餘款再運用-陳郁方_訪問Institute of Software, Chinese Academy of Science進行研究合作與學術交流</t>
  </si>
  <si>
    <t>受邀參加泛華統計學會中國會議（ICSA China conference）並發表演講，將與國際各地研究存活分析的統計學家一同交流討論，以期開啟新的研究方向及可能的未來合作。</t>
  </si>
  <si>
    <t>108/07/01-108/07/03</t>
  </si>
  <si>
    <t>天津市</t>
  </si>
  <si>
    <t>天津(Tianjin)</t>
  </si>
  <si>
    <t>應用公開資料庫進行全基因組QTL熱點偵測分析的統計方法研究_107-2118-M-001-008-</t>
  </si>
  <si>
    <t>參加The 2019 IMS-China International Conference on Statistics and Probability會議，並發表演講"Analysis of genome-wide eQTL hotspot detection in genetical genomics experiments"演講。</t>
  </si>
  <si>
    <t>108/07/05-108/07/12</t>
  </si>
  <si>
    <t>遼寧</t>
  </si>
  <si>
    <t>大連(Dalian)</t>
  </si>
  <si>
    <t>受邀參加2019 Hangzhou International Conference on Frontiers of Data Science，並發表演講，講題為Causal mediation of semicompeting risks。將和其它與會統計學及資料科學專家進行交流和討論。</t>
  </si>
  <si>
    <t>108/05/25-108/05/27</t>
  </si>
  <si>
    <t>一個門檻擴散過程的近似最大概似估計以及試題反應模型下的差別試題功能_108-2118-M-001-003-MY2</t>
  </si>
  <si>
    <t>接受香港科技大學蘇家培教授以及私立逢甲大學陳婉淑教授的邀請，參加 12/2至12/5 在香港大學舉行的 IASC-ARS 2019 會議，並發表專題演講。</t>
  </si>
  <si>
    <t>108/12/02-108/12/05</t>
  </si>
  <si>
    <t>高維問題之線上非線性降維法與應用-基於伽瑪散度之穩健降維_107-2118-M-001-010-MY3</t>
  </si>
  <si>
    <t>參加The 11th ICSA International Conference泛華統計協會大會, 將科技部專題計畫研究成果進行口頭報告</t>
  </si>
  <si>
    <t>108/12/19-108/12/22</t>
  </si>
  <si>
    <t>108/10/09-108/10/12</t>
  </si>
  <si>
    <t>南京</t>
    <phoneticPr fontId="5" type="noConversion"/>
  </si>
  <si>
    <t>小型有機分子在分子束的光分解_106-2113-M-001-023-MY3</t>
  </si>
  <si>
    <t>赴香港參加Carbohydrates Gordon Research Conference</t>
  </si>
  <si>
    <t>赴香港參加Gordon Research Conferences (Carbohydrate Synthesis and Research to Advance Glycobiology and Biomedicine)</t>
  </si>
  <si>
    <t>108/03/06-108/03/10</t>
  </si>
  <si>
    <t>尖端低維材料之原子與電子結構_107-2923-M-001-004-MY3</t>
  </si>
  <si>
    <t>赴香港中文大學參加XXXI IUPAP Conference on Computational Physics (CCP2019)及受邀演講。</t>
  </si>
  <si>
    <t>開發金屬硫族化物之光催化劑用於二氧化碳活化和還原應用_108-2112-M-001-046-MY2</t>
  </si>
  <si>
    <t>前往大陸武漢參加 “Nature Conference on Solar Fuels” 會議, 會議期間 10月 12號 至10月14號, 另外參加10月11號大會特別舉辦的自然大師講堂課程</t>
  </si>
  <si>
    <t>武漢</t>
    <phoneticPr fontId="5" type="noConversion"/>
  </si>
  <si>
    <t>赴中國杭州參加The 35th International Symposium on Free Radicals</t>
  </si>
  <si>
    <t>108/09/15-108/09/20</t>
  </si>
  <si>
    <t>杭州</t>
    <phoneticPr fontId="5" type="noConversion"/>
  </si>
  <si>
    <t>To attend the whole symposium of the 35th International Symposium on Free Radicals and give a poster presentation.</t>
  </si>
  <si>
    <t>杭州</t>
    <phoneticPr fontId="5" type="noConversion"/>
  </si>
  <si>
    <t>赴香港參加The 10th International Conference of The Asian Consortium on Computational Materials Science(ACCMS-10)及受邀演講</t>
  </si>
  <si>
    <t>108/07/22-108/07/26</t>
  </si>
  <si>
    <t>1. 赴大陸合肥參加第3屆亞洲分子光譜研討會及受邀口頭報告 2. 赴上海大學及復旦大學研究交流</t>
  </si>
  <si>
    <t>108/03/06-108/03/13</t>
  </si>
  <si>
    <t>合肥 上海(Shanghai)</t>
  </si>
  <si>
    <t>單細胞內p53動態與功能的調節(1/3)_107-2628-B-001-002-</t>
  </si>
  <si>
    <t>參加在中大陸廈門市舉行之「細胞代謝(Cellular Metabolism)」會議。</t>
  </si>
  <si>
    <t>00047197</t>
  </si>
  <si>
    <t>哺乳類動物DNA甲基化?的新功能─去DNA甲基化活性的 理角色, 調控機制, 與轉 研究(1/3)_107-2311-B-001-022-</t>
  </si>
  <si>
    <t>參加在香港舉辦之「2019 Genome Architecture in Cell Fate and Disease」會議。</t>
  </si>
  <si>
    <t>108/08/04-108/08/08</t>
  </si>
  <si>
    <t>00050577</t>
  </si>
  <si>
    <t>參加中國大陸北京市舉行之｢第17屆國際免疫學大會｣。</t>
  </si>
  <si>
    <t>108/10/17-108/10/23</t>
  </si>
  <si>
    <t>00048733</t>
  </si>
  <si>
    <t>分生所</t>
    <phoneticPr fontId="3" type="noConversion"/>
  </si>
  <si>
    <t>應邀前往中國大陸北京市林業大學參訪並給予演講，講題為：「Protein import into plastids」。</t>
  </si>
  <si>
    <t>108/04/15-108/04/19</t>
  </si>
  <si>
    <t>00048084</t>
  </si>
  <si>
    <t>應邀至香港科技大學賽馬會高等研究院參訪，並給予演講, 演題為:｢以工業用木黴菌為研究模式探討減數分裂機制多樣性」。</t>
  </si>
  <si>
    <t>108/02/28-108/03/04</t>
  </si>
  <si>
    <t>00047275</t>
  </si>
  <si>
    <t>受邀赴中國大陸香港中文大學出席研討會議，並演講。</t>
  </si>
  <si>
    <t>受邀赴中國大陸香港中文大學出席研討會議，並發表論文。</t>
  </si>
  <si>
    <t>受邀赴中國大陸上海交通大學李政道研究所出席會議並演講。</t>
  </si>
  <si>
    <t>赴中國大陸北京大學科維理天文與天體物理研究所出席會議並發表論文。</t>
  </si>
  <si>
    <t>赴中國大陸南京紫金山天文台出席會議，並發表論文。</t>
  </si>
  <si>
    <t>受邀赴中國大陸上海李政道研究所出席會議，並發表論文。</t>
  </si>
  <si>
    <t>天文所</t>
    <phoneticPr fontId="3" type="noConversion"/>
  </si>
  <si>
    <t>赴中國大陸南京紫金山天文台出席EAO Sub-mm Futures研討會議，進行計畫相關學術交流。</t>
  </si>
  <si>
    <t>108/05/19-108/05/24</t>
  </si>
  <si>
    <t>赴中國大陸南京大學及北京清華大學進行近鄰紅矮星周圍行星的形成機制和大氣研究計畫相關學術研究。</t>
  </si>
  <si>
    <t>江蘇 北京市</t>
  </si>
  <si>
    <t>南京(Nanjing) 北京(Beijing)</t>
  </si>
  <si>
    <t>赴中國大陸澳門科技大學進行近鄰紅矮星周圍行星的形成機制和大氣研究計畫相關學術研究。</t>
  </si>
  <si>
    <t>108/06/03-108/06/06</t>
  </si>
  <si>
    <t>尋覓白矮星的伴星(2/3)_108-2112-M-001-045-</t>
  </si>
  <si>
    <t>赴中國大陸貴州省貴陽貴州射電天文台進行計畫相關學術研討，以利發展在臺研究計畫進度。</t>
  </si>
  <si>
    <t>貴州</t>
  </si>
  <si>
    <t>貴陽(Guiyang)</t>
  </si>
  <si>
    <t>赴中國大陸北京清華大學高等研究院進行計畫相關學術交流，以利發展在臺研究計畫發展近況。</t>
  </si>
  <si>
    <t>108/05/28-108/06/01</t>
  </si>
  <si>
    <t>原行星盤與系外行星系統形成之數值模擬（兩岸合作研究：太陽系天體與系外行星系統 — 系外行星、行星形_105-2119-M-001-044-MY3</t>
  </si>
  <si>
    <t>赴中國大陸烏魯木齊參與海峽兩岸天文科學合作研究期末研討會，報告本所在臺研究計畫發展近況，並於會後協同與會學者進行學術交流。</t>
  </si>
  <si>
    <t>新疆</t>
  </si>
  <si>
    <t>烏魯木齊(Urumuqi)</t>
  </si>
  <si>
    <t>基於CRISPR系統的基因編輯技術是近年來對生物科技領域影響最大的新技術，連續多年吸引植物領域各研究團隊的投入。通過大會安排的主題演講，可獲得最新的基因編輯技術資訊、研究發展趨勢和最新動向並可增進與基因編輯研究領域的優秀研究人員廣泛交流與合作的機會。</t>
  </si>
  <si>
    <t>108/03/28-108/04/01</t>
  </si>
  <si>
    <t>本計畫肉雞植生素飼料添加物商品化之研發是研究藥用植物在動物健康, 與此會議天然藥物研究相關</t>
  </si>
  <si>
    <t>108/08/07-108/08/14</t>
  </si>
  <si>
    <t>農生中心</t>
    <phoneticPr fontId="3" type="noConversion"/>
  </si>
  <si>
    <t>國際竹藤中心高健老師在禾本科植物逆境與植物生長等機制上有相當豐富的研究.前往高老師實驗室討論與拜訪, 對於本研究計畫淹水與熱逆境機制之研究將可獲得多方的研究經驗交流</t>
  </si>
  <si>
    <t>農生中心</t>
    <phoneticPr fontId="3" type="noConversion"/>
  </si>
  <si>
    <t>資訊所</t>
    <phoneticPr fontId="3" type="noConversion"/>
  </si>
  <si>
    <t>嘉道時期以來的出版變化與文本流通_107-2410-H-001-015-MY3</t>
  </si>
  <si>
    <t>因執行科技部計畫「嘉道時期以來的出版變化與文本流通」需要，前往上海復旦大學參加「明清區域社會研究的省思」國際學術研討會，並發表論文。</t>
  </si>
  <si>
    <t>108/08/23-108/08/26</t>
  </si>
  <si>
    <t>四川榮縣檔案整理計畫_XP001-D-13</t>
  </si>
  <si>
    <t>為執行蔣經國國際學術交流基金會補助之「四川榮縣檔案整理計畫」，赴四川大學近代文化學院盤點檔案、核實史料。</t>
  </si>
  <si>
    <t>為指導蔣經國國際學術交流基金會補助之「四川榮縣檔案整理計畫」順利執行，赴四川大學近代文化學院協助盤點檔案、核實史料之工作。</t>
  </si>
  <si>
    <t>因執行科技部計畫需要，前往敦煌參加「敦煌(DH2019年)文化遺產數位化國際研討會暨中國社會科學情報學會數字人文專委會學術年會」，並發表兩場專題演講；參加主辦單位安排莫高窟壁畫數字化采集與圖像處理現場考察等活動。</t>
  </si>
  <si>
    <t>敦煌</t>
  </si>
  <si>
    <t>為協助蔣經國國際學術交流基金會補助本所執行之「四川榮縣檔案整理計畫」盤點檔案，隨同計畫主持人陳熙遠先生赴四川成都，評估計畫執行成果。</t>
  </si>
  <si>
    <t>唐宋之間醫療相關作品的論證策略變化_106-2410-H-001-101-MY3</t>
  </si>
  <si>
    <t>因執行科技部計畫「唐宋之間醫療相關作品的論證策略變化」需要，前往北京大學中國古代史研究中心出席第七次「信息溝通與國家秩序工作坊」，並發表論文。</t>
  </si>
  <si>
    <t>108/10/31-108/11/06</t>
  </si>
  <si>
    <t>為協助蔣經國國際學術交流基金會補助本所執行之「四川榮縣檔案整理計畫」盤點檔案，隨同計畫主持人陳熙遠先生赴四川成都，借重渠等對明清檔案數位資料庫之經驗，評估計畫執行成果。</t>
  </si>
  <si>
    <t>因執行科技部計畫需要，前往天津南開大學出席「紀念鄭天挺先生誕辰120周年暨第五屆明清史」國際學術討論會；赴成都參加「無不有風——區域與文化：中國史青年學者工作坊」，二場會議均發表論文。</t>
  </si>
  <si>
    <t>天津市 北京市 四川</t>
  </si>
  <si>
    <t>天津(Tianjin) 北京(Beijing) 成都(Chengdu)</t>
  </si>
  <si>
    <t>漢代數術知識系統的建構及其影響_MOST 108-2410-H-001-002</t>
  </si>
  <si>
    <t>因執行科技部計畫「漢代數術知識系統的建構及其影響」需要，前往上海復旦大學參加「第一屆出土文獻與中國古代史學術論壇暨青年學者工作坊」，並發表論文。</t>
  </si>
  <si>
    <t>因執行科技部計畫「居鄉懷國－南宋鄉居士人劉宰的家國理念與實踐」需要，前往北京大學參加「第四屆訊息溝通與國家秩序工作坊」。</t>
    <phoneticPr fontId="5" type="noConversion"/>
  </si>
  <si>
    <t>107/11/02-107/11/05</t>
    <phoneticPr fontId="5" type="noConversion"/>
  </si>
  <si>
    <t>本案已於107年在長庚大學執行完畢，報告依科技部規定期限繳交；計畫於108年8月轉入中央研究院歷史語言研究所執行。</t>
    <phoneticPr fontId="5" type="noConversion"/>
  </si>
  <si>
    <t>第二屆世界古都論壇暨紀念二里頭遺址科學發掘60周年學術研討會。</t>
  </si>
  <si>
    <t>應中國博物館協會等單位邀請，前往河南省洛陽參加「第二屆世界古都論壇暨紀念二里頭遺址科學發掘60周年學術研討會」，並發表論文。</t>
  </si>
  <si>
    <t>洛陽 鄭州(Zhengzhou) 濟南(Jinan) 曲阜、棗莊</t>
  </si>
  <si>
    <t>史語所</t>
    <phoneticPr fontId="3" type="noConversion"/>
  </si>
  <si>
    <t>花花世界：明清北京的感官娛情與休閒文化_MOST 106-2410-H-001-073-MY2</t>
  </si>
  <si>
    <t>因執行科技部計畫「花花世界：明清北京的感官娛情與休閒文化」需要，前往北京中國國家圖書館、首都圖書館等處蒐集資料。</t>
  </si>
  <si>
    <t>因執行科技部計畫需要，前往杭州參觀浙江省博物館所舉辦之「佛影靈奇－十六國至五代金銅造像」特展，並赴飛來峰石窟，蒐集佛教石刻造像資料。</t>
  </si>
  <si>
    <t>因執行科技部計畫「從廟堂賢良到賢良廟堂─賢良祠與清代國家祀典的佈建」需要，赴上海圖書館蒐集研究資料。</t>
  </si>
  <si>
    <t>108/03/27-108/04/10</t>
  </si>
  <si>
    <t>因執行科技部計畫「花花世界：明清北京的感官娛情與休閒文化」需要，前往北京中國國家圖書館、首都圖書館、北京檔案館等處蒐集資料。</t>
  </si>
  <si>
    <t>108/06/03-108/06/16</t>
  </si>
  <si>
    <t>因執行科技部補助人文行遠專書寫作計畫「毒藥貓理論：人類集體恐懼、猜疑與暴力的社會根源」需要，前往四川省成都、汶川進行田野調查及蒐集資料。</t>
  </si>
  <si>
    <t>107/12/30-108/01/03</t>
  </si>
  <si>
    <t>因執行科技部補助人文行遠專書寫作計畫「毒藥貓理論：人類集體恐懼、猜疑與暴力的社會根源」需要，前往中國銀川蒐集資料及田野調查。</t>
  </si>
  <si>
    <t>吉林 寧夏</t>
  </si>
  <si>
    <t>長春(Changchun) 銀川</t>
  </si>
  <si>
    <t>因執行科技部計畫「成都平原十二橋文化時期金沙聚落之發展」需要，前往四川成都平原進行移地研究及田野調查，收集當地鍶同位素背景值，以作為分析出土人骨遺留、動物時比對之用。</t>
  </si>
  <si>
    <t>因執行科技部補助人文行遠專書寫作計畫「毒藥貓理論：人類集體恐懼、猜疑與暴力的社會根源」需要，前往北京大學社會學系、中國社會科學院文學研究所蒐集資料，並進行學術交流。</t>
  </si>
  <si>
    <t>108/08/23-108/08/28</t>
  </si>
  <si>
    <t>因執行科技部計畫「嘉道時期以來的出版變化與文本流通」需要，赴北京中國國家圖書館蒐集研究資料。</t>
  </si>
  <si>
    <t>西北岡王陵的考古學研究_MOST 108-2410-H-001-084-MY2</t>
  </si>
  <si>
    <t>因執行科技部計畫「西北岡王陵的考古學研究」需要，前往北京國家圖書館、安陽殷墟西北岡遺址及洛陽市博物館蒐集資料。</t>
  </si>
  <si>
    <t>108/10/10-108/10/22</t>
  </si>
  <si>
    <t>北京市 河南</t>
  </si>
  <si>
    <t>北京(Beijing) 安陽 洛陽</t>
  </si>
  <si>
    <t>因執行科技部計畫「唐宋之間醫療相關作品的論證策略變化」需要，前往北京中國國家圖書館進行移地研究及蒐集資料。</t>
  </si>
  <si>
    <t>因執行科技部計畫「嘉道時期以來的出版變化與文本流通」需要，前往廣東韶關市進行移地研究及田野調查。</t>
  </si>
  <si>
    <t>108/11/05-108/11/11</t>
  </si>
  <si>
    <t>韶關市</t>
  </si>
  <si>
    <t>因執行科技部計畫「居鄉懷國－南宋鄉居士人劉宰的家國理念與實踐」需要，前往鎮江進行移地研究。</t>
    <phoneticPr fontId="5" type="noConversion"/>
  </si>
  <si>
    <t>108/05/08-108/05/13</t>
    <phoneticPr fontId="5" type="noConversion"/>
  </si>
  <si>
    <t>鎮江</t>
    <phoneticPr fontId="5" type="noConversion"/>
  </si>
  <si>
    <t>本案已於108年5月在長庚大學執行完畢，計畫於108年8月轉入中央研究院歷史語言研究所執行。</t>
    <phoneticPr fontId="5" type="noConversion"/>
  </si>
  <si>
    <t>中原到山東地區從新石器時代晚期到商周的變化計畫</t>
  </si>
  <si>
    <t>因執行「中原到山東地區從新石器時代晚期到商周的變化計畫」需要，赴河南鄭州及山東濟南、曲阜、棗莊考察新石器時代晚期到東周出土器物。</t>
  </si>
  <si>
    <t>受邀參加中國南方科技大學「物、文化遺產與生活方式」工作坊，發表〈從茶藝到修行：建構現代生活風格的一個趨勢〉''From Tea Art to Cultivation of the Self in Modern Taiwan''一文。</t>
  </si>
  <si>
    <t>深圳(Shenzhen) 潮州</t>
  </si>
  <si>
    <t>全球脈絡下的臺灣宗教：國族認同、宗教流動、文化跨界比較研究-(子計畫四)移民、移動與跨界:當代台灣民間信仰與其跨國廟際網絡的建立_106-2420-H-001-004-MY3</t>
  </si>
  <si>
    <t>科技部研究計畫 移民移動與跨界：當代臺灣民間信仰與其跨國廟際網絡，在當代全球化趨勢之下，兩岸之間民間信仰迅速流動與交流，表現在經濟與文化層面。宗教人類學學界積極尋求最足以分析的理論架構與學術話語，來說明最新現象，有異於往日靜態地研究宗教行為的作法。</t>
  </si>
  <si>
    <t>The 2019 International Conference on China Urban Developmen此會議為探討中國城市發展的年度國際會議，先前於香港、上海、倫敦等地舉辦。發表論文討論中國打工者在河北燕郊買房及城市化的經驗。</t>
  </si>
  <si>
    <t>108/06/27-108/07/04</t>
  </si>
  <si>
    <t>全球變遷下子女的普世義務與新興親子議題：以雙元模型解讀孝的另一面_</t>
  </si>
  <si>
    <t>前往南京市南京大學社會學院參加第十一屆兩岸華人心理學家學術研討會，並擔任大會主題演講者，報告「孝道全球應用與本土意涵」專題演講。回程順道轉往廣州中山大學進行學術交流並給予專題講座。</t>
  </si>
  <si>
    <t>108/10/24-108/10/31</t>
  </si>
  <si>
    <t>南京(Nanjing) 廣州(Guangzhou)</t>
  </si>
  <si>
    <t>民族所</t>
    <phoneticPr fontId="5" type="noConversion"/>
  </si>
  <si>
    <t>客家、巴色差會與太平天國_</t>
  </si>
  <si>
    <t>為執行客家委員會客家文化發展中心委託辦理「客家、巴色差會與太平天國」展示研究案赴中國廣西及香港田野調查。此次擬於廣西考察拜上帝教和太平天國起義遺址，蒐集與太平天國相關之資料，試圖訪查洪秀全、拜上帝會和太平天國與巴色會以及客家的關聯，並於香港訪問巴色差會在傳教時所設下的社會福利機構蒐集相關資料，補充為未來展覽的展示內容。</t>
  </si>
  <si>
    <t>107/10/18-107/10/24</t>
  </si>
  <si>
    <t>廣西 香港</t>
  </si>
  <si>
    <t>南寧 香港(Hong Kong)</t>
  </si>
  <si>
    <t>從三民主義教育到國民文化認同：社會化過程中的霸權形成與具體實踐(2/2)_107-2410-H-001-002-</t>
  </si>
  <si>
    <t>計畫「從三民主義教育到國民文化認同：社會化過程中的霸權形成與具體實踐」移轉到我的名下，計畫其中有一個部分是「新生活運動在30年代的歷史形成 」，我將於四月下旬至至香港蒐集相關資料。同時，香港70年代在英國統治之下，也曾進行所謂愛港新生活運動，相關文獻檔案值得蒐集，以做為比較研究之用。</t>
  </si>
  <si>
    <t>108/04/22-108/05/06</t>
  </si>
  <si>
    <t>赴澳門進行田野調查，參與觀察移工所舉辦之潑水節</t>
  </si>
  <si>
    <t>108/04/12-108/04/14</t>
  </si>
  <si>
    <t>赴澳門進行田野調查。</t>
  </si>
  <si>
    <t>108/04/19-108/04/29</t>
  </si>
  <si>
    <t>赴澳門進行田野調查</t>
  </si>
  <si>
    <t>當代中國的福音醫療變遷：以麻風為例_107-2410-H-001-064-MY2</t>
  </si>
  <si>
    <t>赴香港中文大學查詢中國福音相關資料，赴香港大學演講</t>
  </si>
  <si>
    <t>108/07/08-108/07/11</t>
  </si>
  <si>
    <t>民族所</t>
    <phoneticPr fontId="3" type="noConversion"/>
  </si>
  <si>
    <t>近史所</t>
    <phoneticPr fontId="5" type="noConversion"/>
  </si>
  <si>
    <t>民國史研習營：近代中國的區域發展與政治、文化變遷_SI001-D-18</t>
  </si>
  <si>
    <t>參加中研院近史所、華中師範大學與東北師範大學共同主辦之「近代中國的區域發展與政治、文化變遷學術研討會」</t>
  </si>
  <si>
    <t>參加中研院近史所、華中師範大學與東本師範大學共同主辦之「近代中國的區域發展與政治、文化變遷學術研討會」</t>
  </si>
  <si>
    <t>108/07/08-108/07/20</t>
  </si>
  <si>
    <t>108/07/02-108/07/14</t>
  </si>
  <si>
    <t>赴長春參加本所與東北師範大學歷史文化學院、華中師範大學近代史研究所於2019年7月7-14日合辦之「民國史研習會議:近代中國的區域發展與政治、文化變遷」。</t>
  </si>
  <si>
    <t>參加香港中文大學博物館舉辦清朝祭器會議</t>
  </si>
  <si>
    <t>參加中研院近史所、華中師範大學與東本師範大學共同主辦之「近代中國的區域發展與政治、文化變遷學術研討會」並執行會議業務</t>
  </si>
  <si>
    <t>赴中國大陸長春參加「近代中國的區域發展與政治、文化變遷」研習會議</t>
  </si>
  <si>
    <t>108/07/07-108/07/19</t>
  </si>
  <si>
    <t>為參加於長春舉行之「近代中國的區域發展與政治、文化變遷」研習會議，發表〈海關醫官所見的中國民間醫療〉論文，於7月9日出國，14日返國。</t>
  </si>
  <si>
    <t>林蔚：蔣中正的核心軍事參謀_108-2410-H-001-076-</t>
  </si>
  <si>
    <t>"林蔚：蔣中正的核心軍事參謀":林蔚是國軍高階將領，自北伐時投入蔣中正麾下，展開長期參謀生涯，具相當重要性。因林蔚長期擔任參謀或副手，所作所為難以彰顯；並且，他的個人史料頗為缺乏。本計畫察其重要性，克服研究限制，以其軍事生涯為題深入探析，除豐富學界關於軍政人物的研究，將同時觸及蔣中正的領導統御、中央與地方的關係、國軍與盟軍之聯合作戰、國軍軍事組織等諸多面向。</t>
  </si>
  <si>
    <t>108/11/27-108/12/02</t>
  </si>
  <si>
    <t>7月7日至7月13日期間，赴中國長春參與「近代中國的區域發展與政治、文化變遷」研習會議，發表〈中日報刊的互動空間〉。</t>
  </si>
  <si>
    <t>吉林 北京市</t>
  </si>
  <si>
    <t>長春(Changchun) 北京(Beijing)</t>
  </si>
  <si>
    <t>前往吉林省長春市東北師範大學，出席「近代中國區域發展與政治文化變遷」研習會議。</t>
  </si>
  <si>
    <t>108/07/05-108/07/19</t>
  </si>
  <si>
    <t>四川 吉林 北京市</t>
  </si>
  <si>
    <t>成都(Chengdu) 長春(Changchun) 北京(Beijing)</t>
  </si>
  <si>
    <t>7月7日至13日期間，赴中國長春參與「近代中國的區域發展與政治、文化變遷研習會議」。 7月14至19日期間，移地中國北京參與「國共兩黨的比較研究第2019年度會議」。 7月20至22日期間，於中國北京蒐集研究所需資料。</t>
  </si>
  <si>
    <t>108/07/07-108/07/22</t>
  </si>
  <si>
    <t>中國近世儒學與基督宗教的交涉_106-2410-H-001-085-MY3</t>
  </si>
  <si>
    <t>我擬參加由南開大學主辦的第五屆明清史國際研討會，此次會議有來自世界各國的明清史專家百餘人與會，相當盛大。我擬發表的論文是從清代到民國初年關於西銘文本的詮釋變化，此論文為科技部計畫的部分成果。</t>
  </si>
  <si>
    <t>108/09/09-108/09/12</t>
  </si>
  <si>
    <t>關於婦女的「事實」：民國時期社會調查的性別分析_106-2410-H-001-066-MY2</t>
  </si>
  <si>
    <t>本人乃為執行科技部計畫「關於婦女的『事實』：民國時期社會調查的性別分析」赴上海復旦大學及南京大學、南京師範大學收集資料，特別希望可以赴該校參閱民國時期復旦大學、金陵大學及金陵女子大學的校史檔案資料。同時也為所內計畫「太平洋戰爭期間的敵國人集團生活所之研究」赴上海檔案館及圖書館收集資料。</t>
  </si>
  <si>
    <t>108/03/28-108/04/11</t>
  </si>
  <si>
    <t>上海市 江蘇</t>
  </si>
  <si>
    <t>上海(Shanghai) 南京(Nanjing)</t>
  </si>
  <si>
    <t>執行科技部計畫，赴北京移地研究，蒐集史料並拜訪學者。</t>
  </si>
  <si>
    <t>108/01/25-108/01/31</t>
  </si>
  <si>
    <t>7月7日至14日期間，赴中國長春參與「近代中國的區域發展與政治、文化變遷」研習會議。</t>
  </si>
  <si>
    <t>近代外人在華的英式總會：（III）上海法國總會_107-2410-H-001-007-</t>
  </si>
  <si>
    <t>因執行科技部專題研究計畫〈近代外人在華的英式總會：(III)上海法國總會，至上海收集研究資料</t>
  </si>
  <si>
    <t>108/11/03-108/11/16</t>
  </si>
  <si>
    <t>十八世紀滿文規範化與清朝制度_108-2410-H-001-078-</t>
  </si>
  <si>
    <t>“十八世紀滿文規範化與清朝制度”研究計劃的範圍內去北京查資料</t>
  </si>
  <si>
    <t>108/08/17-108/09/07</t>
  </si>
  <si>
    <t>赴北京中央美院參加「明清中国与世界艺术」国际学术研讨会，發表論文「『中國風』在中國：以《皇朝禮器圖式》相關之「器物圖」為例」，並提前二天到北京赴北京故宮提件並查閱資料以執行科技部計畫「北京、廣東與宮廷：十八世紀中國花鳥畫、本草圖與西式植物圖繪的交會」。</t>
  </si>
  <si>
    <t>108/10/30-108/11/04</t>
  </si>
  <si>
    <t>赴廈門參加2019 Asia Meeting of the Econometric Society(AMES)</t>
  </si>
  <si>
    <t>108/06/13-108/06/17</t>
  </si>
  <si>
    <t>計量方法研究_107-2410-H-001-034-MY3</t>
  </si>
  <si>
    <t>前往廈門參加 2019 Asian Meeting of the Econometric Society 國際研討會</t>
  </si>
  <si>
    <t>赴深圳參加當代勞動經濟學2019年國際研討會，除發表論文「結構轉型進程中的受教育程度、技術需求及生育率差異」外，並同主辦方香港中文大學經濟系學者Yip Chong Kee請益交流計畫相關研究議題。</t>
  </si>
  <si>
    <t>108/12/12-108/12/18</t>
  </si>
  <si>
    <t>經濟所</t>
    <phoneticPr fontId="3" type="noConversion"/>
  </si>
  <si>
    <t>赴中國北京中國農業大學經濟管理學院進行學術交流</t>
  </si>
  <si>
    <t>108/05/19-108/05/22</t>
  </si>
  <si>
    <t>受邀至澳門大學演講並進行學術交流。</t>
  </si>
  <si>
    <t>由香港城市大學邀請赴該校訪問、演講與學術交流</t>
  </si>
  <si>
    <t>赴香港中文大學從事研究訪問，並與Chong Kee Yip教授進行相關研究討論。</t>
  </si>
  <si>
    <t>108/04/12-108/04/16</t>
  </si>
  <si>
    <t>受邀訪問北京大學光華管理學院進行學術交流並與Xiaojun Song教授進行合作研究計畫相關工作。</t>
  </si>
  <si>
    <t>108/07/05-108/07/21</t>
  </si>
  <si>
    <t>赴中國廣州參加2019世界計量經濟學會中國年會(2019 CMES)並發表論文</t>
  </si>
  <si>
    <t>108/06/17-108/06/21</t>
  </si>
  <si>
    <t>經濟所</t>
    <phoneticPr fontId="3" type="noConversion"/>
  </si>
  <si>
    <t>經濟所</t>
    <phoneticPr fontId="3" type="noConversion"/>
  </si>
  <si>
    <t>歐美所</t>
    <phoneticPr fontId="3" type="noConversion"/>
  </si>
  <si>
    <t>文哲所</t>
    <phoneticPr fontId="2" type="noConversion"/>
  </si>
  <si>
    <t>私人志書與文學詮釋——以萬曆《黔記》為中心的考察_106-2410-H-001-099-MY3</t>
  </si>
  <si>
    <t>赴香港中文大學參加國際學術論壇,發表論文。</t>
  </si>
  <si>
    <t>姚鼐經學研究_MOST 106-2410-H-001-089-</t>
  </si>
  <si>
    <t>赴大陸合肥安徽大學參加學術會議,發表論文,並赴常州大學、上海交通大學參訪,商討學術合作事宜</t>
  </si>
  <si>
    <t>安徽 江蘇 上海市</t>
  </si>
  <si>
    <t>合肥 常州市 上海(Shanghai)</t>
  </si>
  <si>
    <t>史事論述中的君臣關係議題──以清華簡鄭、齊史事篇章為研究中心_107-2410-H-001-106-</t>
  </si>
  <si>
    <t>赴香港中文大學蒐集資料</t>
  </si>
  <si>
    <t>107/12/31-108/02/23</t>
  </si>
  <si>
    <t>常州今文經學家劉逢祿的《尚書》學研究_MOST 105-2410-H-001-095-MY2</t>
  </si>
  <si>
    <t>赴大陸上海蒐集資料</t>
  </si>
  <si>
    <t>108/02/12-108/02/15</t>
  </si>
  <si>
    <t>明清基督宗教與白話文的崛起_108-2410-H-001-058-MY3</t>
  </si>
  <si>
    <t>從字詞到思想——簡帛寫本與經學研究_108-2410-H-001-077-</t>
  </si>
  <si>
    <t>赴香港浸會大學蒐集經學與中醫學資料，並赴湖南長沙參加國際學術研討會，發表論文。</t>
  </si>
  <si>
    <t>108/08/30-108/10/24</t>
  </si>
  <si>
    <t>湖南 香港</t>
  </si>
  <si>
    <t>長沙(Changsha) 香港(Hong Kong)</t>
  </si>
  <si>
    <t>台史所</t>
    <phoneticPr fontId="2" type="noConversion"/>
  </si>
  <si>
    <t>為協助謝國興研究員進行民間信仰相關研究，前往漳州薌城區路邊村、顏厝、石亭鎮等地進行全面且系統性的調查及拍攝、紀錄相關資料以進行比較研究。</t>
  </si>
  <si>
    <t>107/12/31-108/01/04</t>
  </si>
  <si>
    <t>漳州</t>
  </si>
  <si>
    <t>帝國與邊緣社會： 恆春半島與埔里盆地之比較研究(19-20世紀初)_107-2410-H-001-020-</t>
  </si>
  <si>
    <t>為執行科技部專題研究計畫「帝國與邊緣社會：恆春半島與埔里盆地之比較研究（19-20世紀初）」之需要，赴中國廈門大學及閩南、閩西漳、泉、長汀等閩客村落進行田野調查及收集族群關係相關研究資料</t>
  </si>
  <si>
    <t>廈門(Xiamen) 長汀、連城、永定、漳州、泉州</t>
  </si>
  <si>
    <r>
      <t xml:space="preserve">00047180
</t>
    </r>
    <r>
      <rPr>
        <sz val="10"/>
        <color indexed="8"/>
        <rFont val="細明體"/>
        <family val="3"/>
        <charset val="136"/>
      </rPr>
      <t>出國報告連同結案報告一併繳交。</t>
    </r>
    <phoneticPr fontId="2" type="noConversion"/>
  </si>
  <si>
    <t>108年度第1梯次博士後研究學者陳冠妃博士受廈門大學民間歷史文獻中心邀請，將於108年11月22日起至11月26日期間，隨同本所謝國興研究員出席「2019年民間歷史文獻論壇」學術研討會，並於會中發表〈由「坊」到「境」－清代臺南房地契約所見之地方行政與社會〉一文。會後，將順道同謝研究員前往廈門海滄地區蒐集研究相關資料。</t>
  </si>
  <si>
    <t>108/11/22-108/11/26</t>
  </si>
  <si>
    <t>社會所</t>
    <phoneticPr fontId="2" type="noConversion"/>
  </si>
  <si>
    <t>108/08/21-108/08/30</t>
  </si>
  <si>
    <t>甘肅 北京市 河南</t>
  </si>
  <si>
    <t>蘭州 北京(Beijing) 鄭州(Zhengzhou)</t>
  </si>
  <si>
    <t>本計畫自2006年起參與東亞社會調查計畫(East Asian Social Survey, EASS)，每兩年與會員國（日本、中國、南韓）同步進行共同主題的調查。此次將先在北京參加EASS年度工作會議討論EASS相關事務與EASS2020的問卷題目，四國將依據此問卷定稿於2020-2021年各自完成調查。之後前往鄭州，參加EASS宗教研究圓桌會議。</t>
  </si>
  <si>
    <t>北京(Beijing) 鄭州(Zhengzhou)</t>
  </si>
  <si>
    <t>傅仰止計畫結餘款再運用</t>
  </si>
  <si>
    <t>傅仰止計畫結餘款再運用。參加蘭州舉行之工作坊、於北京及鄭州舉行之計畫會議。</t>
  </si>
  <si>
    <t>參加台灣藝術與文化社會學學會與中國上海交通大學人文學院合辦的「藝術與社會：跨學科對話前沿論壇」研討會</t>
  </si>
  <si>
    <t>隨台灣藝術與文化社會學學會成員，前往中國參加此學會與上海交通大學人文學院合辦的「藝術與社會：跨學科對話前沿論壇」研討會</t>
  </si>
  <si>
    <t>楊文山計畫結餘款再運用</t>
  </si>
  <si>
    <t>到香港中文大學參加「第四屆臺灣-香港社會學與社會意向研討會」並發表論文，與兩地學者交流研究心得。</t>
  </si>
  <si>
    <t>106/11/03-106/11/05</t>
  </si>
  <si>
    <t>00050525</t>
    <phoneticPr fontId="3" type="noConversion"/>
  </si>
  <si>
    <t>00051821</t>
    <phoneticPr fontId="3" type="noConversion"/>
  </si>
  <si>
    <t>公私合營比較：戰後三十年台灣及香港的教育私營化_107-2410-H-001-050-MY3</t>
  </si>
  <si>
    <t>職擬於108年1月25日至108年2月10日赴香港，至香港政府檔案處，蒐集「公私合營比較：戰後三十年香港與台灣教育的私營化」計畫的相關資料，1月25日出發，1月25日至2月2日蒐集資料</t>
  </si>
  <si>
    <t>108/01/25-108/02/10</t>
  </si>
  <si>
    <t>至香港政府檔案處，蒐集「公私合營比較：戰後三十年香港與台灣教育的私營化」計畫的相關資料(7/5-11)，以及個人休假(7/12-17)，所需經費除由科技部計畫支出60000元，餘由個人自理。</t>
  </si>
  <si>
    <t>108/07/04-108/07/18</t>
  </si>
  <si>
    <t>當代中國的氣候變遷、社會衝突、與地方治理；移地研究田野調查</t>
  </si>
  <si>
    <t>北京市 甘肅</t>
  </si>
  <si>
    <t>北京(Beijing) 蘭州</t>
  </si>
  <si>
    <t>赴蘭州參加「2019兩岸社會議題研究工作坊：族群、鄉村與區域差異」（8/21-8/26），並於其間執行科技部計畫「當代中國循環再發的社會抗爭」田野調查。赴北京執行科技部計畫田野調查（8/26 - 8/28）及參加東亞社會調查（EASS）年度工作會議（8/27）。赴鄭州參加東亞社會調查宗教研究圓桌會議（8/28 - 8/29）。</t>
  </si>
  <si>
    <t>赴杭州執行田野調查。</t>
  </si>
  <si>
    <t>108/11/06-108/11/10</t>
  </si>
  <si>
    <t>應香港中文大學教育學院之邀進行學術交流。</t>
  </si>
  <si>
    <t>2019年11月5日至2019年11月7日赴中國杭州進行與清大合辦之當代中國研究秋季師生田野調查與資料蒐集。</t>
  </si>
  <si>
    <t>108/11/05-108/11/07</t>
  </si>
  <si>
    <t>客語程度副詞與時間副詞之共時與歷時研究_106-2410-H-001-050-MY2</t>
  </si>
  <si>
    <t>Workshop on the Grammar of Early Chinese Dialects</t>
  </si>
  <si>
    <t>108/06/13-108/06/15</t>
  </si>
  <si>
    <t>至南京大學訪問研究暨參加國際學術研討會</t>
  </si>
  <si>
    <t>108/03/11-108/03/18</t>
  </si>
  <si>
    <t>參加漢語語義之形式研究國際研討會</t>
  </si>
  <si>
    <t>108/06/20-108/06/24</t>
  </si>
  <si>
    <t>第七屆現代漢語句法語義前沿研討會</t>
  </si>
  <si>
    <t>108/11/07-108/11/11</t>
  </si>
  <si>
    <t>出席The 12th International Workshop on Theoretical East Asian Linguistics(TEAL 12)並張貼海報。</t>
  </si>
  <si>
    <t>語言所</t>
    <phoneticPr fontId="3" type="noConversion"/>
  </si>
  <si>
    <t>霍爾語群關鍵語言比較研究_107-2410-H-001-071-</t>
  </si>
  <si>
    <t>田野調查</t>
  </si>
  <si>
    <t>108/04/22-108/05/22</t>
  </si>
  <si>
    <t>四川黑水縣藏語研究_MOST104-2410-H-001-067-MY3</t>
  </si>
  <si>
    <t>至中國四川成都田野調查</t>
  </si>
  <si>
    <t>108/07/19-108/08/16</t>
  </si>
  <si>
    <t>108/11/28-108/11/30</t>
  </si>
  <si>
    <t>108/03/30-108/04/01</t>
  </si>
  <si>
    <t>108/05/10-108/05/12</t>
  </si>
  <si>
    <t>108/07/10-108/07/14</t>
  </si>
  <si>
    <t>108/12/13-108/12/15</t>
  </si>
  <si>
    <t>108/09/04-108/09/08</t>
  </si>
  <si>
    <t>108/08/24-108/08/28</t>
  </si>
  <si>
    <t>應科中心</t>
    <phoneticPr fontId="5" type="noConversion"/>
  </si>
  <si>
    <t>應邀至廈門參加The 12th Asia-Pacific Conference on Near-field Optics (APNFO)會議，並擔任Chair of International Advisory Committee及發表Poster。</t>
  </si>
  <si>
    <t>108/07/14-108/07/18</t>
  </si>
  <si>
    <t>應邀至香港出席The 9th International Multidisciplinary Conference on Optofluidics (IMCO2019)會議，並擔任General Chair及發表一篇Poster。</t>
  </si>
  <si>
    <t>108/06/14-108/06/17</t>
  </si>
  <si>
    <t>参加"第八届海峡两岸光学微结构与激光技术暨第五届海峡两岸纳米光电与等离激元科技研讨会”</t>
  </si>
  <si>
    <t>108/10/09-108/10/13</t>
  </si>
  <si>
    <t>參加廈門第12屆亞太近場光學會議（APNFO 12），並發表壁報論文。</t>
  </si>
  <si>
    <t>出席海峽兩岸奈米科技術大會</t>
  </si>
  <si>
    <t>108/10/13-108/10/15</t>
  </si>
  <si>
    <t>河南</t>
  </si>
  <si>
    <t>開封市</t>
  </si>
  <si>
    <t>00042252</t>
    <phoneticPr fontId="5" type="noConversion"/>
  </si>
  <si>
    <t>光學量子糾纏之非線性奈米結構與介面研究_107-2112-M-001-042-MY3</t>
  </si>
  <si>
    <t>赴南京大學物理學院開展合作研究(此案為臨時指派)</t>
  </si>
  <si>
    <t>108/01/16-108/03/01</t>
  </si>
  <si>
    <t>108/03/18-108/05/22</t>
  </si>
  <si>
    <t>赴南京大學物理學院開展合作研究</t>
  </si>
  <si>
    <t>108/06/03-108/07/17</t>
  </si>
  <si>
    <t>赴南京大學物理學院開展合作研究</t>
    <phoneticPr fontId="5" type="noConversion"/>
  </si>
  <si>
    <t>00046172</t>
    <phoneticPr fontId="5" type="noConversion"/>
  </si>
  <si>
    <t>環變中心</t>
    <phoneticPr fontId="5" type="noConversion"/>
  </si>
  <si>
    <t>WCRP/CMIP6跨國國際氣候推估模式比對計畫-氣候變遷研究聯盟II (3/3)-總計畫：氣候變遷實驗室II (3/3)_107-2119-M-001-010-</t>
  </si>
  <si>
    <t>14th ‘General Circulation Model Simulations of the East Asian Climate' (EAC) workshop. The theme of the workshop is East Asian Climate under Global Warming: Understanding and Projection.</t>
  </si>
  <si>
    <t>108/04/26-108/04/30</t>
  </si>
  <si>
    <t>台灣巨型城市環境研究III-都市空氣污染與低雲及霧霾之物理化學交互作用-子計畫：不同型態社區微粒成份及指標物分析與小尺度模式驗證(第3年)_107-2111-M-001-009-</t>
  </si>
  <si>
    <t>參加2019年第11屆亞洲氣溶膠大會(11th Asian Aerosol Conference)</t>
  </si>
  <si>
    <t>台灣巨型城市環境研究III-都市空氣污染與低雲及霧霾之物理化學交互作用-子計畫：邊界層氣象及氣膠物理與光學性質之觀測_107-2111-M-001-005-</t>
  </si>
  <si>
    <t>參加第29屆國際雷射雷達會議</t>
  </si>
  <si>
    <t>參加14th "General Circulation Model Simulations of the East Asian Climate" (EAC) workshop</t>
  </si>
  <si>
    <t>赴中國廈門大學參加Biogeoscapes國際研究合作計畫研討</t>
  </si>
  <si>
    <t>108/10/18-108/10/22</t>
  </si>
  <si>
    <t>赴上海同濟大學參加第一屆海峽兩岸古海洋與古氣候學術會議</t>
  </si>
  <si>
    <t>108/04/10-108/04/18</t>
  </si>
  <si>
    <t>上海(Shanghai) 南京(Nanjing) 香港(Hong Kong)</t>
  </si>
  <si>
    <t>Attending the 14th ‘General Circulation Model Simulations of the East Asian Climate' (EAC) workshop</t>
  </si>
  <si>
    <t>To attend workshop of Large Eddy Simulation (PALM)</t>
  </si>
  <si>
    <t>108/09/15-108/09/21</t>
  </si>
  <si>
    <t>舟山市</t>
  </si>
  <si>
    <t>赴香港大學訪問張素菁助理教授，討論計畫合作之相關議題</t>
  </si>
  <si>
    <t>108/01/27-108/01/29</t>
  </si>
  <si>
    <t>環變中心小計</t>
    <phoneticPr fontId="5" type="noConversion"/>
  </si>
  <si>
    <t>赴南京大學大氣科學學院進行學術交流</t>
  </si>
  <si>
    <t>赴香港大學進行研究討論</t>
  </si>
  <si>
    <t>前往香港參加2019國際甲殼類會議(The Crustacean Society Mid-Year Meeting 2019).</t>
  </si>
  <si>
    <t>前往香港參加『戈登海洋分子生態專題研討會』及『戈登海洋分子生態國際研討會』</t>
  </si>
  <si>
    <t>Gordon Research Seminar (GRS)由研究生或博士後組成的討論會議，促進年輕學者交流研究。Gordon Research Conference (GRC)會議報告內容為各國科學家最新的實驗進展，演講者為相關領域具影響力的知名學者。 此會議主題特別針對海洋生物多樣性及最新的研究技術進行討論。</t>
  </si>
  <si>
    <t>108/07/10-108/07/19</t>
  </si>
  <si>
    <t>年齡對尼泊爾埋葬蟲合作行為的影響_106-2621-B-001-005-MY3</t>
  </si>
  <si>
    <t>前往中國西安參加2019年動物學年會第二十四屆學術年會</t>
  </si>
  <si>
    <t>108/08/24-108/08/27</t>
  </si>
  <si>
    <t>陝西</t>
  </si>
  <si>
    <t>西安(Xian)</t>
  </si>
  <si>
    <t>多樣中心</t>
    <phoneticPr fontId="5" type="noConversion"/>
  </si>
  <si>
    <t>中國大陸四川省雅安市寶興縣進行埋葬蟲採樣調查研究</t>
  </si>
  <si>
    <t>108/06/25-108/09/20</t>
  </si>
  <si>
    <t>雅安市寳興縣</t>
  </si>
  <si>
    <t>前往中國大陸四川省雅安市寶興縣進行埋葬蟲採樣調查研究。</t>
  </si>
  <si>
    <t>108/06/30-108/07/21</t>
  </si>
  <si>
    <t>雅安市寶興縣</t>
  </si>
  <si>
    <t>前往西安南部山脈進行尼泊爾埋葬蟲野外初步調查。</t>
  </si>
  <si>
    <t>前往福建武夷山進行埋葬蟲野外採樣調查研究</t>
  </si>
  <si>
    <t>108/12/06-108/12/13</t>
  </si>
  <si>
    <t>武夷山</t>
  </si>
  <si>
    <t>以生物地質化學和土壤微生物學的觀點，解析氣候變遷下海岸濕地的生態系服務功能-以生物地質化學和土壤微生物學的觀點，解析氣候_107-2621-M-001-001-</t>
  </si>
  <si>
    <t>森林植被對土壤有機物組成影響的相關研究的一環，藉由雲南多山的環境和台灣類似，將可比較兩地海拔變遷和竹林生態的影響關係並進行學術交流。</t>
  </si>
  <si>
    <t>普洱、景洪、大關 昆明(kunming)</t>
  </si>
  <si>
    <t>福建武夷山進行埋葬蟲野外採驗調查研究研究。</t>
  </si>
  <si>
    <t>福建省</t>
  </si>
  <si>
    <t>年齡對尼泊爾埋葬蟲合作行為的影響_MOST 106-2621-B-001-005-MY3</t>
  </si>
  <si>
    <t>北京周圍山區進行埋葬蟲研究，及前往中國河北省圍場市進行埋葬蟲研究</t>
  </si>
  <si>
    <t>106/07/05-106/07/11</t>
  </si>
  <si>
    <t>北京市 河北省</t>
  </si>
  <si>
    <t>北京(Beijing) 圍場市</t>
  </si>
  <si>
    <t>7/5-7/6在北京周圍山區調查適合研究地點，7/7-7/11前往中國河北省圍場市進行埋葬蟲研究</t>
  </si>
  <si>
    <t>北京市 河北</t>
  </si>
  <si>
    <t>基因體中心</t>
    <phoneticPr fontId="2" type="noConversion"/>
  </si>
  <si>
    <t>受邀參加2nd China-Japan Joint Symposium on Natural Product Biosynthesis會議</t>
  </si>
  <si>
    <t>108/01/13-108/01/16</t>
  </si>
  <si>
    <t>Feasibility study of Lectins for Probing Circulating Tumors Cells</t>
  </si>
  <si>
    <t>108/10/18-108/10/23</t>
  </si>
  <si>
    <t>Carbohydrate Synthesis and Research to Advance Glycobiology and Biomedicine</t>
  </si>
  <si>
    <t>前往香港參加Carbohydrate Synthesis and Research to Advance Glycobiology and Biomedicine並張貼海報。</t>
  </si>
  <si>
    <t>計畫結餘款</t>
  </si>
  <si>
    <t>協助分析實驗數據</t>
  </si>
  <si>
    <t>108/02/25-108/02/27</t>
  </si>
  <si>
    <t>協助研究及數據整理</t>
  </si>
  <si>
    <t>參加「Confucian Political Meritocrary? Possibilities and Limits」研討會並發表論文。</t>
  </si>
  <si>
    <t>108/03/07-108/03/10</t>
  </si>
  <si>
    <t>資訊所小計</t>
    <phoneticPr fontId="3" type="noConversion"/>
  </si>
  <si>
    <t>分生所</t>
    <phoneticPr fontId="3" type="noConversion"/>
  </si>
  <si>
    <t xml:space="preserve">人社中心 </t>
    <phoneticPr fontId="3" type="noConversion"/>
  </si>
  <si>
    <t>到廈門大學進行移地研究，與廈門大學經濟學院經濟系龍小寧教授共同進「知識產權訴訟」的實證研究。</t>
  </si>
  <si>
    <t>108/06/30-108/07/14</t>
  </si>
  <si>
    <t>資創中心</t>
    <phoneticPr fontId="5" type="noConversion"/>
  </si>
  <si>
    <t>108/04/14-108/04/15</t>
  </si>
  <si>
    <t>108/11/16-108/11/21</t>
  </si>
  <si>
    <t>108/07/10-108/07/11</t>
  </si>
  <si>
    <t>108/11/16-108/11/20</t>
  </si>
  <si>
    <t>108/08/11-108/08/17</t>
  </si>
  <si>
    <t>108/01/23-108/01/24</t>
  </si>
  <si>
    <t>108/02/27-108/03/03</t>
  </si>
  <si>
    <t>00047015</t>
    <phoneticPr fontId="3" type="noConversion"/>
  </si>
  <si>
    <t>00048763</t>
    <phoneticPr fontId="3" type="noConversion"/>
  </si>
  <si>
    <t>00047921</t>
    <phoneticPr fontId="3" type="noConversion"/>
  </si>
  <si>
    <t>00050642</t>
    <phoneticPr fontId="3" type="noConversion"/>
  </si>
  <si>
    <t>00052373</t>
    <phoneticPr fontId="3" type="noConversion"/>
  </si>
  <si>
    <t>00051145</t>
    <phoneticPr fontId="3" type="noConversion"/>
  </si>
  <si>
    <t>00052475</t>
    <phoneticPr fontId="3" type="noConversion"/>
  </si>
  <si>
    <t>大陸地區旅費</t>
    <phoneticPr fontId="3" type="noConversion"/>
  </si>
  <si>
    <t>大陸地區旅費</t>
    <phoneticPr fontId="3" type="noConversion"/>
  </si>
  <si>
    <t>The 10th Asian Conference on Machine Learning (ACML)</t>
    <phoneticPr fontId="3" type="noConversion"/>
  </si>
  <si>
    <t>參與2019戈登會-微生物附著及訊息傳導會議。</t>
  </si>
  <si>
    <t>日本湘南iPARK邀請本園區派員參訪於108年5月22~24日MIT Startup Showcase活動，以強化未來雙邊人員交流、舉辦創新競賽、加強國際行銷、創投及新創公司合作、研究合作、互補性優勢服務及資訊之提供。</t>
  </si>
  <si>
    <t>到菲律賓IloIlo參加2nd USA–Academia Sinica Bilateral Research Symposium and Iloilo International Conference on Advanced Natural Products Technologies (I2CANProTech)擔任講者</t>
  </si>
  <si>
    <t>參加日本生物物理學年度會議，將於該年會內發表專題研究結果，此專題研究由科技部計畫支持，採用大腸桿菌的麩氨酸合成酶作為研究標的，以導向HECT E3酵素的生物活化機制的進階冷凍電顯的研究。</t>
  </si>
  <si>
    <t>受邀赴韓國首爾出席Frontier Bioorganization Forum 2019，並給予演講。</t>
  </si>
  <si>
    <t>108/11/06-108/11/15</t>
    <phoneticPr fontId="2" type="noConversion"/>
  </si>
  <si>
    <t>00048362
分生所申請出國差旅,生化所核銷</t>
    <phoneticPr fontId="2" type="noConversion"/>
  </si>
  <si>
    <t>列108年應付帳款/經費分攤,於基因體研究中心申請出國差旅,生化所核銷</t>
    <phoneticPr fontId="2" type="noConversion"/>
  </si>
  <si>
    <t>Taiwan Protein Project赴德國參加The 15th STRENDA Meeting(9/9)及應邀出席Beilstein Enzymology Symposium給予演講(9/10-9/12)，會後前往瑞士Paul Scherrer Institute視察自身實驗室成員進行SwissFEL光束線實驗及洽談未來計畫合作之可能性(9/13-9/16)，再赴德國Philipps-University給予一場專題演講(9/17)並與合作人Prof. Lars-O. Essen討論計畫。</t>
  </si>
  <si>
    <t>Taiwan Protein Project應邀赴美國Oregon Health and Science University (OHSU)給予專題演講並與同領域之學者進行一對一學術交流(10/8)，亦會赴該校冷凍電顯中心進行學術與營運經驗交流，此電顯中心為國際最佳的冷凍電顯設施之一。</t>
  </si>
  <si>
    <t>Taiwan Protein Project參加DFG Round Table Discussion Photoreceptors 2019 with the focus topic “Conformational Dynamics of Photoreceptors at Different Time Scales”</t>
  </si>
  <si>
    <t>3/5-3/11European Synchrotron Radiation Facility (ESRF)作實驗+3/13 Universitat de València受邀演講</t>
  </si>
  <si>
    <t>赴日本兵庫縣SP8進行蛋白質實驗</t>
  </si>
  <si>
    <t>Taiwan Protein Project赴日本兵庫縣Spring 8進行蛋白質研究</t>
  </si>
  <si>
    <t>Taiwan Protein Project5/10-12參訪橫濱大學+5/13-15 SPring-8做實驗+參訪5/16-17Kyowa-kako Co.商談合作事宜</t>
  </si>
  <si>
    <t>Taiwan Protein Project10/23-25 SPing 8 進行光束線實驗+10/26 Osaka University合作單位進行進度報告+10/27-29 Kyowa-Kako Co. 合作單位進行進度報告</t>
  </si>
  <si>
    <t>6/14-6/16 SP8作實驗+6/17-6/19 訪問吉田生物研究所討論合作相關事宜+6/20-6/24SP8 作實驗</t>
  </si>
  <si>
    <t>赴日本SPring-8進行研究數據收集實驗</t>
  </si>
  <si>
    <t>11/23-26 Nagoya University談合作事宜+11/27-11/29 SP8做實驗+11/30-12/2 Japan Synchrotron Radiation Research Institute (JASRI)討論合作研究成果</t>
  </si>
  <si>
    <t>國內旅費</t>
    <phoneticPr fontId="2" type="noConversion"/>
  </si>
  <si>
    <t>藉由完成三種不同領域相關之機器閱讀系統, 建立一個可通用的機器閱讀架構-子 畫二：基於事件的文本蘊_105-2221-E-001-007-MY3</t>
  </si>
  <si>
    <t>P19005_源於GAN的深度學習技術與網路精簡化在電腦視覺的應用(2/4) _MOST108-2634-F-001-007_NeurIPS 2019</t>
  </si>
  <si>
    <t>P19018_雲端財富及風險管理：投資策略與智能交易技術與高效率演算法開發研究-雲端財富及風險管理：投資策略與智能交易技術與高效率演算法開發研究(3/3) _MOST108-2218-E-001-003_IEEE Big Data 2019</t>
  </si>
  <si>
    <t>108/12/06-108/12/14</t>
  </si>
  <si>
    <t>P19005_源於GAN的深度學習技術與網路精簡化在電腦視覺的應用(2/4) _MOST108-2634-F-001-007_CVPR 2019</t>
  </si>
  <si>
    <t>108/06/14-108/06/22</t>
  </si>
  <si>
    <t>9999_計畫結餘款再運用-呂俊賢_WSCE 2019</t>
  </si>
  <si>
    <t>108/12/19-108/12/24</t>
  </si>
  <si>
    <t>呂俊賢老師計畫結餘款再運用_9999_ICRAET 2019</t>
  </si>
  <si>
    <t>108/01/14-108/01/21</t>
  </si>
  <si>
    <t>9999_計畫結餘款再運用-陳祝嵩_NeurIPS 2019</t>
  </si>
  <si>
    <t>9999_計畫結餘款再運用-何建明_IEEE BigData 2019</t>
  </si>
  <si>
    <t>108/12/08-108/12/18</t>
  </si>
  <si>
    <t>臺英雙邊人員訪問(愛丁堡)_108-2911-I-001-521_</t>
  </si>
  <si>
    <t>參加美國紐約洛克菲勒大學【Advanced Gene Mapping Course】</t>
  </si>
  <si>
    <t>參加108年1月28日至2月1日於美國紐約洛克菲勒大學辦理之Advanced Gene Mapping Course</t>
  </si>
  <si>
    <t>108/01/27-108/02/07</t>
  </si>
  <si>
    <t>00046262</t>
    <phoneticPr fontId="5" type="noConversion"/>
  </si>
  <si>
    <t>107年10月16日至10月20日，出席於美國舉行的【ASHG 2018 Annual Meeting】</t>
  </si>
  <si>
    <t>107/10/15-107/10/24</t>
  </si>
  <si>
    <t>演化上保留之重疊蛋白質基因的生物資訊及細胞功能研究_MOST108-2311-B-001-015-</t>
  </si>
  <si>
    <t>108年12月18日至12月21日，出席於韓國首爾舉行的【2019第六屆國際生物資訊研究與應用研討會】</t>
  </si>
  <si>
    <t>108/12/18-108/12/23</t>
  </si>
  <si>
    <t>結餘款再運用</t>
    <phoneticPr fontId="5" type="noConversion"/>
  </si>
  <si>
    <t>108/12/13-12/23</t>
    <phoneticPr fontId="5" type="noConversion"/>
  </si>
  <si>
    <t>美國</t>
    <phoneticPr fontId="5" type="noConversion"/>
  </si>
  <si>
    <t>紐約冷泉港</t>
  </si>
  <si>
    <t>於108年12月14日至12月18日，出席美國夏威夷舉行的【The 15th US-Japan Symposium on Drug Delivery Systems】</t>
  </si>
  <si>
    <t>美國威斯康辛大學麥迪遜校區訪問研究</t>
  </si>
  <si>
    <t>於107年9月14日至108年1月1日前往美國威斯康辛大學麥迪遜校區訪問研究</t>
  </si>
  <si>
    <t>107/09/14-108/01/01</t>
  </si>
  <si>
    <t>107/01/26-107/09/07</t>
  </si>
  <si>
    <t>　</t>
  </si>
  <si>
    <t>歐美亞澳非洲</t>
    <phoneticPr fontId="5" type="noConversion"/>
  </si>
  <si>
    <t>國際合作時代的黑洞天文物理研究(1/5)_MOST 106-2923-M-001-005-</t>
  </si>
  <si>
    <t>107/12/02-107/12/09</t>
  </si>
  <si>
    <t>土桑(Tuscon, Arizona)</t>
  </si>
  <si>
    <t>研發植生素作為抗生素替代物</t>
  </si>
  <si>
    <t>108/12/15-108/12/18</t>
  </si>
  <si>
    <t>動物保健產業研發,本次餐與國際糖尿病會議, 有助於開發代謝疾病產品. 與計畫方向相符</t>
  </si>
  <si>
    <t>108/12/02-108/12/06</t>
  </si>
  <si>
    <t>參加會議並發表壁報論文</t>
  </si>
  <si>
    <t>108/05/01-108/09/01</t>
  </si>
  <si>
    <t>受邀演講參加第15屆國際ISBAB會議,進行學術交流、分享彼此的科研新知</t>
  </si>
  <si>
    <t>108/09/18-108/09/26</t>
  </si>
  <si>
    <t>廣島(Hiroshima)</t>
  </si>
  <si>
    <t>動物保護產業</t>
  </si>
  <si>
    <t>補發107年機票款差額</t>
  </si>
  <si>
    <t>107/08/07-107/08/11</t>
  </si>
  <si>
    <t>古晉</t>
  </si>
  <si>
    <t>參加會議</t>
  </si>
  <si>
    <t>目前在美國 UC Davis 訪問研究, 返回台灣參加會議</t>
  </si>
  <si>
    <t>108/07/10-108/07/26</t>
  </si>
  <si>
    <t>107/08/24-107/08/28</t>
    <phoneticPr fontId="5" type="noConversion"/>
  </si>
  <si>
    <t>探索美國外交政策訊號之操作芻型：歐巴馬和川普政府的亞洲政策之比較_107-2410-H-001-074-MY2</t>
  </si>
  <si>
    <t>「探索美國外交政策訊號之操作芻型：歐巴馬和川普政府的亞洲政策之比較」，探究美國如何操作其外交政策訊號使其政策意圖得以被他國(受訊者)正確解讀呢？本計畫旨在探索美國外交政策訊號之操作芻型，並將之適用到具體案例上解釋美國與受訊國之外交政策互動。</t>
  </si>
  <si>
    <t>108/11/06-108/11/15</t>
  </si>
  <si>
    <t>費城(Philadelphia,Pennsylvania) 華盛頓特區(Washington)</t>
  </si>
  <si>
    <t>科技部補助國內專家學者出席國際會議，補助編號：107-2914-I-001-052-AI</t>
  </si>
  <si>
    <t>本所陳姃湲副研究員應東亞日本研究者協會邀請，赴日本京都出席「第三回東亞研究者協會國際大會（The Third International Conference of the East Asian Consortium of Japanese Studies)」，並於會中發表〈「私娼稼業公證書」からみた1910年代植民地台湾の日本人娼婦〉一文。</t>
  </si>
  <si>
    <t>107/10/25-107/11/02</t>
  </si>
  <si>
    <t>鄭雁馨副研究員赴法國巴黎短期訪問</t>
  </si>
  <si>
    <t>107/08/27-108/08/19</t>
  </si>
  <si>
    <t>美國(U.S.A.) 法國(France) 奧地利(Austria) 冰島(Iceland) 匈牙利(Hungary) 瑞典(Sweden)</t>
  </si>
  <si>
    <t>奧斯丁(Austin, Texas) 巴黎(Paris) 維也納(Vienna) 雷克雅未克(Reykjavik) 佩奇(Pécs) 斯德哥爾摩(Stockholm)</t>
  </si>
  <si>
    <t>全球脈絡下的台灣宗教：國族認同、宗教流動、文化跨界比較研究-（子計畫六）-一貫道文化跨界：英語系國家的道場論述與實作_106-2420-H-001-023-MY3</t>
  </si>
  <si>
    <t>1.楊弘任副研究員於108年1月13日至24日赴澳洲雪梨與墨爾本進行田野調查。本次經費由科技部計畫「一貫道的文化跨界：英語系國家的道場論述與實作」(MOST 106-2420-H-001-023-MY3)之經費支應。 2.本次澳洲道場田野調查原訂期程為2019/01/13至01/24，因田野調查對象原先排定之活動行程提前結束，本人配合該行程，也提前結束田野調查，於2019/01/22返回台灣。</t>
  </si>
  <si>
    <t>108/01/13-108/01/22</t>
  </si>
  <si>
    <t>雪梨(Sydney) 墨爾本(Melbourne)</t>
  </si>
  <si>
    <t>台英計畫-動態消偶極物質量測</t>
  </si>
  <si>
    <t>赴英國南安普敦大學光電研究中心移地研究，進行台英合作計畫。</t>
  </si>
  <si>
    <t>108/06/03-108/06/12</t>
  </si>
  <si>
    <t>南安普敦</t>
  </si>
  <si>
    <t>去英國南安普敦大學移地研究，進行台英合作計畫。</t>
  </si>
  <si>
    <t>108/02/17-108/02/26</t>
  </si>
  <si>
    <t>00042252,科研基金出232轉為233</t>
    <phoneticPr fontId="5" type="noConversion"/>
  </si>
  <si>
    <t>赴德國Institute of Environmental Physics/ Institute of Remote Sensing of the University of Bremen參訪，共同研討亞洲地區之空氣汙染問題及其對區域大氣化學與氣候變遷的影響，及合作計畫-EMeRGe Project TEAM 4 meeting 事宜。</t>
  </si>
  <si>
    <t>108/12/16-108/12/24</t>
  </si>
  <si>
    <t>林進之博士後研究赴英國曼徹斯特參加2019演化分子生物學會議。</t>
  </si>
  <si>
    <t>108/07/16-108/08/02</t>
  </si>
  <si>
    <t>誤入,109年調帳</t>
  </si>
  <si>
    <t>參加The 19th IEEE International Conference on Nanotechnology 並給予演講</t>
  </si>
  <si>
    <t>108/07/21-108/07/26</t>
  </si>
  <si>
    <t>表觀遺傳調節分子N-α-乙醯基轉移?10蛋白質引起肥胖之機制探討_106-2311-B-001-041-MY3</t>
  </si>
  <si>
    <t>參加國際研討會 Universidad de Concepción, celebrating 100 years “Chromatin dynamics, gene expression and signal transduction in health and disease</t>
  </si>
  <si>
    <t>108/12/06-108/12/17</t>
  </si>
  <si>
    <t>Concepción</t>
  </si>
  <si>
    <t>參加SASE年會發表個人研究成果。 此次申請中央研究院年輕學者出席國際學術會議補助，作為年輕研究者到場宣讀論文，在全世界經濟研究最為重要的集會場合交流之餘，亦希望能藉此機會，代表台灣分享研究成果。</t>
  </si>
  <si>
    <t>受邀至Kanagawa University 進行訪問研究。邀請人Professor Shintaro Miura 專長為資訊經濟學，這次出訪除尋求目前研究的延伸討論外，也希望與他建立更深入的合作，探討網路時代媒體如何影響選民偏好與投票選擇。</t>
  </si>
  <si>
    <t>參加「2019 American Association of Geographers Annual Meeting」會議並發表論文。</t>
  </si>
  <si>
    <t>參加「European Survey Research Association(ESRA)第8屆年會」(8th Conference of the European Survey Research Association)會議並發表論文。</t>
  </si>
  <si>
    <t>參加「2019 European Survey Research Association」會議並發表論文。</t>
  </si>
  <si>
    <t>參加「European Survey Research Association 」(ESRA) 第8屆年會並發表論文。</t>
  </si>
  <si>
    <t>參加「2019牛津比較政治哲學會議」(The 1st Oxford Symposium on Comparative Political Philosophy)並發表論文。</t>
  </si>
  <si>
    <t>參加「17TH ISQOLS ANNUAL CONFERENCE」會議並發表論文，與國際學術研究者交流。</t>
  </si>
  <si>
    <t>國外旅費</t>
    <phoneticPr fontId="2" type="noConversion"/>
  </si>
  <si>
    <t>108/10/19-108/10/24</t>
    <phoneticPr fontId="2" type="noConversion"/>
  </si>
  <si>
    <t>出席 「The International Society for Quality-of-Life Studies」（ISQOLS）所主辦的第17屆年會（17th Annual Conference）並發表論文。</t>
  </si>
  <si>
    <t>參加「2019年亞太產業經濟學會議」(Asia Pacific Industrial Organization Conference, APIOC)並發表論文。</t>
  </si>
  <si>
    <t>參加「2019年醫學地理會議」並以壁報方式發表論文。</t>
  </si>
  <si>
    <t>赴日本京都大學進行人文社會科學組年輕學者赴國外進修計畫等。</t>
    <phoneticPr fontId="5" type="noConversion"/>
  </si>
  <si>
    <t>赴日本東京進行資料蒐集及移地研究。</t>
  </si>
  <si>
    <t>赴德國慕尼黑進行資料蒐集及移地研究。</t>
  </si>
  <si>
    <t>赴美國華盛頓特區進行資料蒐集及移地研究。</t>
  </si>
  <si>
    <t>赴美國雪城參加ALPS 2019年會並發表論文，同時與美國波士頓等當地專家學者進行學術交流。</t>
  </si>
  <si>
    <t>赴瑞士琉森參加Dignity, Democracy, Diversity：29th World Congress of the International Association for Philosophy of Law and Social Philosophy (IVR)會議並發表論文。</t>
  </si>
  <si>
    <t>赴智利聖地牙哥參加International Society of Public Law (ICON·S) 2019年會並發表論文。</t>
  </si>
  <si>
    <t>赴法國巴黎參加 International Colloquium on Global Ethics of Compromise會議並發表論文。</t>
  </si>
  <si>
    <t>赴美國華盛頓特區參加Law and Society Association 2019年會並發表論文。</t>
  </si>
  <si>
    <t>赴日本福岡參加Multidisciplinary Perspectives on Algorithms Regulation, Governance, Markets會議並發表論文，同時與國外學者進行學術交流。</t>
  </si>
  <si>
    <t>赴荷蘭蒂爾堡參加Conference TILTing Perspectives 2019：Regulating a world in transition會議並發表論文。</t>
  </si>
  <si>
    <t>赴美國華盛頓特區參加Law and Society Association 2019年會並發表論文等。</t>
  </si>
  <si>
    <t>赴匈牙利布達佩斯參加Budapest Workshop on Philosophy of Technology 2019會議並發表論文。</t>
  </si>
  <si>
    <t>赴瑞士琉森參加第29屆International Association for Philosophy of Law and Social Philosophy世界大會並發表論文，同時與國外學者進行學術交流。</t>
  </si>
  <si>
    <t>物理所</t>
    <phoneticPr fontId="5" type="noConversion"/>
  </si>
  <si>
    <t>王嵩銘先生擬於2019年6月30日至7月5日止前往香港之香港科技大學出席國際會議（會議名稱:Gordon Research Conference (GRC) in Particle Physics） 擔任受邀講著並發表專題演講。</t>
  </si>
  <si>
    <t>108/06/30-108/07/05</t>
  </si>
  <si>
    <t>陳志強研究員擬於2019-07-26至2019-08-09赴香港參加 31st IUPAP Conference in Computational Physics (CCP2019)會議</t>
  </si>
  <si>
    <t>108/07/26-108/08/09</t>
  </si>
  <si>
    <t>以精密磁譜儀探測宇宙中之反物質及暗物質-19暨愛因斯坦重力場論的再檢視-19_108-2112-M-001-019-</t>
  </si>
  <si>
    <t>李世昌先生擬於108年9月08日至9月11日前往大陸山東大學參與"AMS低能量宇宙線研究及應用"之實驗組交流</t>
  </si>
  <si>
    <t>108/09/08-108/09/11</t>
  </si>
  <si>
    <t>濟南(Jinan)</t>
  </si>
  <si>
    <t>前往中國大陸北京參加兩場研討會暨發表學術專題論文演講</t>
  </si>
  <si>
    <t>108/10/08-108/10/17</t>
  </si>
  <si>
    <t>參加"第十五屆兩岸納米科技大會"，進行研究、蒐集、彙整會議資料，並與當地主辦單位統籌會議進行</t>
  </si>
  <si>
    <t>河南省</t>
  </si>
  <si>
    <t>侯書雲先生擬於108年6月6日至6月8日前往中國南京大學，參與ATLAS實驗組學術交流研討會議</t>
  </si>
  <si>
    <t>108/06/06-108/06/08</t>
  </si>
  <si>
    <t>參加「ISO/TC 229 Meeting」，進行學術技術交流。</t>
  </si>
  <si>
    <t>以微流道侷限細菌研究其形態之空間幾何對細胞分裂調控蛋白的動態分佈_108-2112-M-001-023-MY3</t>
  </si>
  <si>
    <t>參加第十五屆兩岸四地納米科技大會並發表論文。</t>
  </si>
  <si>
    <t>開封</t>
  </si>
  <si>
    <t>奈米科技學門研究發展及推動計畫</t>
    <phoneticPr fontId="5" type="noConversion"/>
  </si>
  <si>
    <t>國立臺灣大學林唯芳教授擬於108年11月10至18日赴中國大陸浙江省杭州市參加「ISO/TC 229 Meeting」及至廣州市
出席「APAM國際會議」，進行學術技術交流。</t>
    <phoneticPr fontId="5" type="noConversion"/>
  </si>
  <si>
    <t>108/10/13-108/10/16</t>
    <phoneticPr fontId="5" type="noConversion"/>
  </si>
  <si>
    <t>第十五屆海峽兩岸奈米科學與技術研討會(MOST108-2911-M-001-506)</t>
  </si>
  <si>
    <t>108/10/13-108/10/16</t>
    <phoneticPr fontId="5" type="noConversion"/>
  </si>
  <si>
    <t>108/10/13-108/10/17</t>
    <phoneticPr fontId="5" type="noConversion"/>
  </si>
  <si>
    <t>參加"第十五屆兩岸納米科技大會"進行國際會議學術交流。</t>
  </si>
  <si>
    <t>參加"第十五屆海峽兩岸奈米科學與技術研討會"進行國際會議學術交流。</t>
  </si>
  <si>
    <t>參加"第十五屆兩岸奈米科技大會"進行國際會議學術交流。</t>
  </si>
  <si>
    <t>市參加"第十五屆兩岸納米科技大會"進行國際會議學術交流。</t>
  </si>
  <si>
    <t>108/10/13-108/10/17</t>
  </si>
  <si>
    <t>參加"第十五屆兩岸四地納米科技大會"進行國際會議學術交流</t>
  </si>
  <si>
    <t>參加17th Beijing Forum on High Temperature Superconductivity 第17屆高溫超導體北京論壇</t>
  </si>
  <si>
    <t>108/05/25-108/06/03</t>
  </si>
  <si>
    <t>張掖</t>
  </si>
  <si>
    <t>108/10/17-108/10/21</t>
  </si>
  <si>
    <t>108/06/14-108/06/21</t>
    <phoneticPr fontId="5" type="noConversion"/>
  </si>
  <si>
    <t>溧陽市</t>
    <phoneticPr fontId="5" type="noConversion"/>
  </si>
  <si>
    <t>研究助理徐晟桓先生擬於108年10月18日起至108年10月18日止應邀前往中國上海Shanghai Institute of Applied Physics(SINAP)與上海同步光源Shanghai Synchrotron Radiation Facility(SSRF)進行學術及技術交流</t>
  </si>
  <si>
    <t>108/10/18-108/10/18</t>
  </si>
  <si>
    <t>畫結餘款再運用-胡宇光</t>
  </si>
  <si>
    <t>特聘研究員胡宇光先生擬於108年12月26日起至108年12月28日止受邀前往中國深圳之中國科學院深圳先進技術研究院進行學術與技術交流</t>
  </si>
  <si>
    <t>108/12/26-108/12/28</t>
  </si>
  <si>
    <t>研究員胡宇光先生擬於108年09月22日起至108年09月24日止應邀前往中國上海Shanghai Institute of Applied Physics(SINAP)進行訪問</t>
  </si>
  <si>
    <t>108/09/22-108/09/24</t>
  </si>
  <si>
    <t>研究員胡宇光先生於108年04月17日起至108年04月19日止臨時受邀應赴上海應用物理研究所(SINAP)進行訪問及學術交流</t>
  </si>
  <si>
    <t>研究員胡宇光先生擬於108年08月08日起至108年08月19日止受邀前往中國湖北參加第十一屆海峽兩岸超微顆粒會議並於會議前進行會前學術交流</t>
  </si>
  <si>
    <t>108/08/08-108/08/19</t>
  </si>
  <si>
    <t>ATLAS New Small Wheel 探測器運行與新物理現象搜尋暨CEPC環形加速器電子對撞實驗LumiCal矽晶量能器對Higg玻子生成反應截面測量(1/3)_108-2112-M-001-021-</t>
  </si>
  <si>
    <t>研究員侯書雲先生擬於108年11月17日至11月21日前往中國北京高能所，參與環形加速器電子對撞(CEPC)之實驗組會議</t>
  </si>
  <si>
    <t>108/11/17-108/11/21</t>
  </si>
  <si>
    <t>在ATLAS實驗搜尋新物理與希格斯玻色子並且參與Phase-2探測器升級暨環形加速器電子對撞(CEPC)實驗物理及LumiCal反應截面測量-在ATLAS實驗搜尋新物理與希格斯玻色子並且參與Phase-2探測器升級暨環形加速器電子對撞(CEPC)實驗物理及LumiCal反應截面測量_107-2119-M-001-019-</t>
  </si>
  <si>
    <t>侯書雲先生擬於108年3月10日至3月14日前往中國北京高能所，參與環形加速器電子對撞(CEPC)會議</t>
  </si>
  <si>
    <t>以大數據研究複雜系統動力學_107-2112-M-001-024-</t>
  </si>
  <si>
    <t>香港及上海的研究同仁利用大數據資料庫研究複雜系統的動力學，特別是針對系統對外部或內部衝擊的反應。我們會以分析複雜系統的時間序列為出發點。我們將會探討複雜系統中時間序列的耦合關係，以及有關資訊交換及流動情形，因果關係及關聯性等性質的關係。</t>
  </si>
  <si>
    <t>108/04/18-108/05/29</t>
  </si>
  <si>
    <t>香港 上海市</t>
  </si>
  <si>
    <t>香港(Hong Kong) 上海(Shanghai)</t>
  </si>
  <si>
    <t>在ATLAS實驗搜尋新物理與?瘣筋薯滮l並且參與Phase-2探測器升級暨環形加速器電子對撞(CEPC)實驗物理及_107-2119-M-001-019-</t>
  </si>
  <si>
    <t>派遣中央大學賴培築先生自2019年7月24日至10月06日前往北京中國科學院高能所參與參與環形加速器電子對撞(CEPC)實驗及相關之學術交流討論</t>
  </si>
  <si>
    <t>108/07/24-108/10/06</t>
  </si>
  <si>
    <t>赴上海復旦大學進行學術交流並蒐集計畫資料</t>
  </si>
  <si>
    <t>胡宇光先生擬於108年11月21日起至108年11月24日止赴中國上海Shanghai Institute of Applied Physics(SINAP)與上海同步光源Shanghai Synchrotron Radiation Facility(SSRF)進行X光相關研究</t>
  </si>
  <si>
    <t>馬來西亞(Malaysia) 中國大陸(China)</t>
  </si>
  <si>
    <t>古晉(Kuching) 上海(Shanghai)</t>
  </si>
  <si>
    <t>楊舜閔先生擬於108年07月28日起至108年07月30日止赴中國科學院上海應用物理研究所 Shanghai Institute of Applied Physics, Chinese Academy of Sciences(SINAP)進行X光影像相關研究</t>
  </si>
  <si>
    <t>108/07/28-108/07/30</t>
  </si>
  <si>
    <t>研究助理李宗澤先生擬於108年10月16日起至108年10月20日止應邀前往中國上海Shanghai Institute of Applied Physics(SINAP)進行X光相關研究</t>
  </si>
  <si>
    <t>中國大陸(China)</t>
    <phoneticPr fontId="5" type="noConversion"/>
  </si>
  <si>
    <t>國立交通大學韋光華教授受邀於108年10月13日至16日前往河南省開封市參加"第十五屆兩岸納米科技大會"進行國際
會議學術交流</t>
    <phoneticPr fontId="5" type="noConversion"/>
  </si>
  <si>
    <t>長庚大學馬蘊華教授受邀於108年10月13日至17日前往河南省開封市參加"第十五屆兩岸納米科技大會"進行國際會議
學術交流</t>
    <phoneticPr fontId="5" type="noConversion"/>
  </si>
  <si>
    <t>中國大陸(China)</t>
    <phoneticPr fontId="5" type="noConversion"/>
  </si>
  <si>
    <t>計畫結餘款再運用-李定國</t>
    <phoneticPr fontId="5" type="noConversion"/>
  </si>
  <si>
    <t>特聘研究員李定國先生受邀於108年6月14日至6月16日赴大陸江蘇溧陽市參加「Workshop on the Frontiers of Condensed Matter Theory」（6/14-16）</t>
    <phoneticPr fontId="5" type="noConversion"/>
  </si>
  <si>
    <t>371720科技部_有限回饋下的線上學習_106-2221-E-001-005-MY3</t>
    <phoneticPr fontId="3" type="noConversion"/>
  </si>
  <si>
    <t>107/11/13 至107/11/17</t>
    <phoneticPr fontId="3" type="noConversion"/>
  </si>
  <si>
    <t>中國大陸(China)</t>
    <phoneticPr fontId="3" type="noConversion"/>
  </si>
  <si>
    <t>北京(Beijing)</t>
    <phoneticPr fontId="3" type="noConversion"/>
  </si>
  <si>
    <t>00045423,107年原列232國外旅費,應為233大陸旅費,108年轉正。</t>
    <phoneticPr fontId="3" type="noConversion"/>
  </si>
  <si>
    <t>出席國際會議-The 3rd Asian Workshop on Molecular Spectroscopy(AWMS 2019)</t>
    <phoneticPr fontId="5" type="noConversion"/>
  </si>
  <si>
    <t>居鄉懷國－南宋鄉居士人劉宰的家國理念與實踐_MOST 107-2420-H-001-008-MY4</t>
    <phoneticPr fontId="5" type="noConversion"/>
  </si>
  <si>
    <t>赴澳門大學參加Greater China Regions Workshop</t>
  </si>
  <si>
    <t>631619科技部_有機奈米精準醫學平台:快速分離循環腫瘤細胞與個人化藥物
篩選(1/3)_MOST 106-2119-M-001-023</t>
    <phoneticPr fontId="5" type="noConversion"/>
  </si>
  <si>
    <t>參加2018第十四屆海峽兩岸奈米科學與技術研討會CSWNST14</t>
    <phoneticPr fontId="5" type="noConversion"/>
  </si>
  <si>
    <t>107/6/21 至 107/06/24</t>
    <phoneticPr fontId="5" type="noConversion"/>
  </si>
  <si>
    <t>中國大陸(China)</t>
    <phoneticPr fontId="5" type="noConversion"/>
  </si>
  <si>
    <t>澳門(Macau)</t>
    <phoneticPr fontId="5" type="noConversion"/>
  </si>
  <si>
    <t>參加PAKDD2019,發表論文：Keyword Extraction with Character-level Convolu-tional Neural Tensor Networks</t>
    <phoneticPr fontId="5" type="noConversion"/>
  </si>
  <si>
    <t>參加會議：APSIPA Winter School 2019並發表論文</t>
  </si>
  <si>
    <t>甘肅省</t>
  </si>
  <si>
    <t>蘭州</t>
  </si>
  <si>
    <t>參加會議：International Conference on Multimedia and Expo</t>
  </si>
  <si>
    <t>結餘款再運用-楊奕軒老師</t>
  </si>
  <si>
    <t>參加會議：Asia-Pacific Signal and Information Processing Association Annual Summit and Conference 2019並發表論文</t>
    <phoneticPr fontId="5" type="noConversion"/>
  </si>
  <si>
    <t>參加會議：International Joint Conference on Artificial Intelligence並發表論文</t>
  </si>
  <si>
    <t>參加會議：International Joint Conferences on Artificial Intelligence，並發表論文</t>
    <phoneticPr fontId="5" type="noConversion"/>
  </si>
  <si>
    <t>420022李秀敏老師-J7計畫結餘款再運用</t>
    <phoneticPr fontId="5" type="noConversion"/>
  </si>
  <si>
    <t>420032王廷方老師-J7計畫結餘款再運用</t>
    <phoneticPr fontId="5" type="noConversion"/>
  </si>
  <si>
    <t>訪問，邀請單位：澳門大學</t>
  </si>
  <si>
    <t>計畫結餘款-曹昱老師</t>
  </si>
  <si>
    <t>訪問：香港中文大學，邀請人：電子工程學系李丹教授</t>
  </si>
  <si>
    <t>計畫結餘款再運用-胡宇光</t>
    <phoneticPr fontId="5" type="noConversion"/>
  </si>
  <si>
    <t>亞洲佛教藝術圖典與知識系統之建構(II-III)－中國佛教石窟圖典與知識系統之建構(1/2)_MOST 106-2420-H-001-022</t>
    <phoneticPr fontId="5" type="noConversion"/>
  </si>
  <si>
    <t>居鄉懷國－南宋鄉居士人劉宰的家國理念與實踐_MOST 107-2420-H-001-008-MY4</t>
    <phoneticPr fontId="5" type="noConversion"/>
  </si>
  <si>
    <t>中國大陸(China)</t>
    <phoneticPr fontId="5" type="noConversion"/>
  </si>
  <si>
    <t>至廣西社科院進行學者訪談，並到產業合作區參觀政策創新模式</t>
  </si>
  <si>
    <t>廣西</t>
  </si>
  <si>
    <t>南寧</t>
  </si>
  <si>
    <t>對於中共社會治理創新的方式進行調研</t>
  </si>
  <si>
    <t>鄭州(Zhengzhou)</t>
  </si>
  <si>
    <t>至南寧參加廣西社科院之會議，以及到上海同濟大學訪學</t>
  </si>
  <si>
    <t>廣西 上海市</t>
  </si>
  <si>
    <t>南寧 上海(Shanghai)</t>
  </si>
  <si>
    <t>至上海同濟大學與廣西社科院進行學者訪談</t>
  </si>
  <si>
    <t>上海市 廣西</t>
  </si>
  <si>
    <t>上海(Shanghai) 南寧</t>
  </si>
  <si>
    <t>至澳門進行關於幹部流動之訪談</t>
  </si>
  <si>
    <t>習近平時期中共對台統戰新政策之研析:以浙江、福建和廣東為例_</t>
  </si>
  <si>
    <t>至天津、北京與香港進行學者與台商的訪談</t>
  </si>
  <si>
    <t>天津市 香港</t>
  </si>
  <si>
    <t>天津(Tianjin) 香港(Hong Kong)</t>
  </si>
  <si>
    <t>北極外交與永續治理之研究_106-2410-H-001-034-MY2</t>
  </si>
  <si>
    <t>赴中國上海田野調查</t>
  </si>
  <si>
    <t>631702科技部_光學量子糾纏之非線性奈米結構與介面研
究_107-2112-M-001-042-MY3</t>
    <phoneticPr fontId="5" type="noConversion"/>
  </si>
  <si>
    <t>107/11/26 至 107/12/31</t>
    <phoneticPr fontId="5" type="noConversion"/>
  </si>
  <si>
    <t xml:space="preserve">中國大陸(China) </t>
    <phoneticPr fontId="5" type="noConversion"/>
  </si>
  <si>
    <t>南京(Nanjing)</t>
    <phoneticPr fontId="5" type="noConversion"/>
  </si>
  <si>
    <t>00036505
跨年度支出收回</t>
    <phoneticPr fontId="5" type="noConversion"/>
  </si>
  <si>
    <t>00036504
跨年度支出收回</t>
    <phoneticPr fontId="5" type="noConversion"/>
  </si>
  <si>
    <r>
      <rPr>
        <sz val="10"/>
        <color indexed="8"/>
        <rFont val="細明體"/>
        <family val="3"/>
        <charset val="136"/>
      </rPr>
      <t>利用多音束聲納繪製綠島中光層珊瑚礁生態系棲地及非生物因子與珊瑚入添 與垂直連通性的交互作用 (2/3)_107-2611-M-001-004-</t>
    </r>
    <phoneticPr fontId="2" type="noConversion"/>
  </si>
  <si>
    <r>
      <t>出席國際會議-第八屆海峽兩岸光學微結構與激光技術研討會暨第五屆海峽兩岸納米光電與等離激元科技研討會</t>
    </r>
    <r>
      <rPr>
        <sz val="10"/>
        <color theme="1"/>
        <rFont val="Calibri"/>
        <family val="2"/>
      </rPr>
      <t/>
    </r>
    <phoneticPr fontId="5" type="noConversion"/>
  </si>
  <si>
    <t>渠朝義先生於2018年8月1日至2019年7月31日赴瑞士日內瓦歐洲粒子物理 研究中心(CERN)參與AMS國際合作計畫進行電腦模擬及數據分析等研究工作</t>
  </si>
  <si>
    <t>Extending Asian Soundscape Monitoring Network and Moving Towards Open Science Platform_Asi@Connect-17-100</t>
  </si>
  <si>
    <t>協助舉辦工作坊，並與University of Philippine Cebu研究團隊共同研擬未來執行Extending Asian Soundscape Monitoring Network and Moving Towards Open Science Platform (Asi@Connect-17- 100)所需建立的珊瑚礁長期聲景監測站</t>
  </si>
  <si>
    <t>108/09/22-108/09/26</t>
  </si>
  <si>
    <t>赴美國夏威夷參與2019 USAF/Taiwan Nanostructured Materials for Sensing and Sustainment並發表論文。</t>
  </si>
  <si>
    <t>108/12/09-108/12/21</t>
  </si>
  <si>
    <t>參加「ACB Workshop: Regional Workshop on Biodiversity Data Organization and Management 」國際會議擔任講師，協助計畫主持人於會議上教授聲音資料分析相關課程。</t>
  </si>
  <si>
    <t>出席「The 38thInternational Conference on Thermoelectrics and the 4thAsian Conference on Thermoelectrics (ICT/ACT 2019)」會議，並受邀演講。</t>
  </si>
  <si>
    <t>聲納資料分析工作坊</t>
  </si>
  <si>
    <t>2019臺美奈米材料基礎科學研發共同合作研究計畫</t>
  </si>
  <si>
    <t>108/12/09-108/12/13</t>
  </si>
  <si>
    <t>108/11/27-108/12/12</t>
    <phoneticPr fontId="5" type="noConversion"/>
  </si>
  <si>
    <t>副研究員王嵩銘博士於2019年1月9日至12月23日止赴「歐洲核子研究組織」（CERN）從事實驗研究工作。</t>
  </si>
  <si>
    <t>108/01/09-108/12/23</t>
  </si>
  <si>
    <t>參加2019年美國物理年會(March meeting of American Physical Society)並發表論文</t>
  </si>
  <si>
    <t>108/03/03-108/03/07</t>
  </si>
  <si>
    <t>關於新物理規範理論模型的粒子現象學_107-2119-M-001-033-</t>
  </si>
  <si>
    <t>參加「長壽粒子與新物理研討會」並擔任研討會某一場次演講主持人</t>
  </si>
  <si>
    <t>歸仁市</t>
  </si>
  <si>
    <t>參加「International Nanotechnology Conference in the Philippines 2019 (INCP2019)」並成邀請講者。</t>
  </si>
  <si>
    <t>副研究員灰野禎一博士擬於2019年1月17日至1月25日前往日本神岡KAGRA實驗室、京都與台灣等地從事KAGRA計畫之相關學術工作會議、技術交流活動。</t>
  </si>
  <si>
    <t>108/01/17-108/01/25</t>
  </si>
  <si>
    <t>神岡 京都(Kyoto)</t>
  </si>
  <si>
    <t>108/02/27-108/03/04</t>
    <phoneticPr fontId="5" type="noConversion"/>
  </si>
  <si>
    <t>108/08/04-108/12/09</t>
    <phoneticPr fontId="5" type="noConversion"/>
  </si>
  <si>
    <t>研究員胡宇光先生擬於108年11月29日起至108年11月29日止受邀前往韓國浦項參與The 31th Synchrotron Radiation Users' Workshop &amp; KOSUA Meeting進行學術與技術交流</t>
  </si>
  <si>
    <t>108/11/29-108/11/29</t>
  </si>
  <si>
    <t>胡宇光先生擬於108年11月16日起至108年11月21日止應邀前往馬來西亞古晉參加APPC2019會議並擔任Invited Speaker</t>
  </si>
  <si>
    <t>本所研究員灰野禎一博士灰野禎一博士擬於2019年11月25日至12月06日前往日本富山與東京大學進行KAGRA天文台系統特性化實驗並進行工作會議。</t>
  </si>
  <si>
    <t>108/11/25-108/12/06</t>
  </si>
  <si>
    <t>富山 東京(Tokyo)</t>
  </si>
  <si>
    <t>108年挪威KSAT接收站之福衛五號原始影像資料回傳自動化系統維護_NSPO-S-108017</t>
  </si>
  <si>
    <t>沈一慧擬赴馬來西亞布城(Malaysia, Purtajaya)出席108年7月22日至26日舉辦之「48th APAN Meeting」國際會議。</t>
  </si>
  <si>
    <t>Putrajaya(布城)</t>
  </si>
  <si>
    <t>參與Lorentz Centre Workshop-Micro- and Nano-Fluidics: Fundamentals and Applications並成邀請講者。</t>
  </si>
  <si>
    <t>107/11/14-107/11/18</t>
  </si>
  <si>
    <t>參與ATLAS實驗搜尋新物理 象-15-在ATLAS的Run2數據實驗尋找新物理與希格斯玻色子的b b-bar_MOST104-2112-M-001-026-MY3</t>
  </si>
  <si>
    <t>本所副研究員王嵩銘博士擬於2018年1月27日至9月16日止赴於「歐洲粒子物理研究中心」(CERN)從事實驗研究工作。</t>
  </si>
  <si>
    <t>107/01/27-107/12/13</t>
  </si>
  <si>
    <t>約聘助理王雅嫻小姐擬於108年11月30日起至108年12月13日止前往日本兵庫縣SPring-8進行X光相關研究</t>
  </si>
  <si>
    <t>108/11/30-108/12/13</t>
  </si>
  <si>
    <t>博士後研究盛樂文先生擬於2019年5月25日至6月10日前往義大利拉奎拉（l’Aquila）及巴里（Bari）參加LEGEND合作討論會進行專題研究、研習專業知識及技能，爾後出席國際會議並發表專題演講。</t>
  </si>
  <si>
    <t>108/05/25-108/06/10</t>
  </si>
  <si>
    <t>巴里(Bari) 拉奎拉(l’Aquila)</t>
  </si>
  <si>
    <t>受邀前往新加坡Singapore Synchrotron Light Source (SSLS)進行研究</t>
  </si>
  <si>
    <t>108/12/03-108/12/07</t>
  </si>
  <si>
    <t>赴美國維吉尼亞大學物理系學術交流（擴充加值國際合作）</t>
  </si>
  <si>
    <t>108/08/22-108/10/23</t>
  </si>
  <si>
    <t>Charlottesville</t>
  </si>
  <si>
    <t>赴University of Hawai'i at Manoa進行學術交流研究。</t>
  </si>
  <si>
    <t>副研究員灰野禎一博士擬於2019年2月18日至2月25日前往日本名古屋參加第四屆KMI國際研討會與課程，擔任邀請講者工作進行口頭發表。</t>
  </si>
  <si>
    <t>巴基斯坦籍博士生李杉拉先生（Shahzad Ali）自2019年7月18日起 至2019年12月31日持續於瑞士日內瓦之「歐洲核子研究組織」(European Organization for Nuclear Research，CERN）從事研究工作。</t>
  </si>
  <si>
    <t>108/07/18-108/12/31</t>
  </si>
  <si>
    <t>摩洛哥籍學者訪問學者馬茲尼先生（Rachid Mazini）自2019年8月1日起至2019年12月31日持續長駐瑞士日內瓦「歐洲核子研究組織」(European Organization for Nuclear Research，CERN)從事研究工作。</t>
  </si>
  <si>
    <t>108/08/01-108/12/31</t>
  </si>
  <si>
    <t>博士後研究永井慧先生於2019年12月22日至12月25日止前往日本茨城縣東海村「日本高能加速器研究機構理論中心」（High Energy Accelerator Research Organization，簡稱KEK）之J-PARC進行E50實驗專題研究、研習專業知識及技能。</t>
  </si>
  <si>
    <t>108/12/22-108/12/25</t>
  </si>
  <si>
    <t>本所達克漢博士擬於2019年5月24日至12月12日前往日本富山參與KAGRA計畫，進行實驗校正系統建置等相關實驗工作。</t>
  </si>
  <si>
    <t>108/05/24-108/12/12</t>
  </si>
  <si>
    <t>博士後研究陳翔欣小姐擬於108年11月30日起至108年12月12日止前往日本兵庫縣SPring-8進行X光相關研究</t>
  </si>
  <si>
    <t>108/11/30-108/12/12</t>
  </si>
  <si>
    <t>約聘助理李宗澤先生擬於108年10月23日起至108年11月08日止先後前往日本仙台參與The 15th Symposium of Japanese Research Community on X-ray Imaging Optics會議進行新知研討，結束後赴日本兵庫縣SPring-8進行X光相關研究</t>
  </si>
  <si>
    <t>李宗澤先生擬於108年11月30日起至108年12月18日止前往日本兵庫縣SPring-8進行X光相關研究及新加坡National University of Singapore進行生物顯像之相關發展研究</t>
  </si>
  <si>
    <t>108/11/30-108/12/18</t>
  </si>
  <si>
    <t>日本(Japan) 新加坡(Singapore)</t>
  </si>
  <si>
    <t>兵庫縣 新加坡(Singapore)</t>
  </si>
  <si>
    <t>00048124, I'll present our research at the EAC workshop, which brings together the climate community for discussions of distinct climate characteristics over East Asia and the latest discoveries in this field.</t>
    <phoneticPr fontId="3" type="noConversion"/>
  </si>
  <si>
    <r>
      <t>Quy Nh</t>
    </r>
    <r>
      <rPr>
        <sz val="10"/>
        <color theme="1"/>
        <rFont val="Calibri"/>
        <family val="2"/>
      </rPr>
      <t>ơ</t>
    </r>
    <r>
      <rPr>
        <sz val="10"/>
        <color theme="1"/>
        <rFont val="細明體"/>
        <family val="3"/>
        <charset val="136"/>
      </rPr>
      <t>n</t>
    </r>
  </si>
  <si>
    <t>00045754,   108年度應付帳款為671,195元(多預估200,000元)，實際支出為471,195元(108年度尚未核銷)。</t>
    <phoneticPr fontId="5" type="noConversion"/>
  </si>
  <si>
    <t>赴日本沖繩出席「SPARCA 2019」會議並受邀演講。</t>
    <phoneticPr fontId="5" type="noConversion"/>
  </si>
  <si>
    <t>沖繩(Okinawa)</t>
    <phoneticPr fontId="5" type="noConversion"/>
  </si>
  <si>
    <t>赴哥斯大黎加聖荷西進行實驗研究事宜及赴瑞士巴塞爾參加Utas 2019會議並發表論文。</t>
    <phoneticPr fontId="5" type="noConversion"/>
  </si>
  <si>
    <t>哥斯大黎加(Costa Rica)瑞士(Switzerland)</t>
    <phoneticPr fontId="5" type="noConversion"/>
  </si>
  <si>
    <t>聖荷西(San Jose)巴塞爾(Basel)</t>
    <phoneticPr fontId="5" type="noConversion"/>
  </si>
  <si>
    <t>林誠謙擬赴馬來西亞布城(Malaysia, Purtajaya)出席108年7月22日至26日舉辦之「48th APAN Meeting」國際會議。</t>
    <phoneticPr fontId="5" type="noConversion"/>
  </si>
  <si>
    <t>107年度應付帳款多預估1元</t>
    <phoneticPr fontId="5" type="noConversion"/>
  </si>
  <si>
    <t>107年度應付帳款多預估200,000元</t>
    <phoneticPr fontId="5" type="noConversion"/>
  </si>
  <si>
    <t>膜單加氧在直鏈烷烴與烷 芳香烴的電化學催化轉換(1/3)_107-2113-M-001-029-</t>
    <phoneticPr fontId="2" type="noConversion"/>
  </si>
  <si>
    <t>00044552,  107年應付帳款少估6,000元,實際為30,643元</t>
    <phoneticPr fontId="5" type="noConversion"/>
  </si>
  <si>
    <t>00053158,  108年應付帳款多估列14,406，實際支出60,308元</t>
    <phoneticPr fontId="5" type="noConversion"/>
  </si>
  <si>
    <t>參加美國紐約冷泉港辦理之「Cold Spring Harbor course:</t>
  </si>
  <si>
    <t>無出國退票手續費,列108年應付帳款,尚未核銷</t>
    <phoneticPr fontId="5" type="noConversion"/>
  </si>
  <si>
    <t>出席國際會議_Photonics West Conference 2019 : High-Speed Biomedical Imaging and Spectroscopy IV 受邀演講</t>
    <phoneticPr fontId="5" type="noConversion"/>
  </si>
  <si>
    <t>應邀赴日出席2019年國際胞外體研討會(ISEV2019) 會議內容簡述：與會擔任Session Chair一職，並陪同指導吳晏瑭(研究助理)Oral presentation</t>
    <phoneticPr fontId="5" type="noConversion"/>
  </si>
  <si>
    <t>前往瑞士巴賽爾參加"第23屆微全分析年會"並於會議中發表二篇海報論文，參與此會議有助於了解此研究領域在國際中的最新發展，亦能藉此機會認識各國學者，尋求跨國合作機會。</t>
    <phoneticPr fontId="5" type="noConversion"/>
  </si>
  <si>
    <t>1.出席國際會議-The 13th Annual meeting of Japan Society for Molecular Science並發表研究成果 2.訪問Institute for Molecular Science</t>
    <phoneticPr fontId="5" type="noConversion"/>
  </si>
  <si>
    <t>前往瑞士巴賽爾參加"第23屆微全分析年會"並於會議中發表二篇海報論文。</t>
    <phoneticPr fontId="5" type="noConversion"/>
  </si>
  <si>
    <t xml:space="preserve">受邀赴澳洲Adelaide出席The 23rd East Asian Workshop on Chemical Dynamics(EAWCD23)及發表演講 </t>
    <phoneticPr fontId="5" type="noConversion"/>
  </si>
  <si>
    <t>前往日本松江市參加"第11屆石墨烯與二維材料近期進展年度研究會議",並於會議中發表實驗室近幾年之重要研究成果,以期有機會與此方面之專家交流及合作。</t>
    <phoneticPr fontId="5" type="noConversion"/>
  </si>
  <si>
    <t>108/10/28-29受邀至日本東京Nikon公司討論研究光學相關設計；10/30-11/1參加於日本東京舉辦的Resonance Bio International Symposium (RBIS)會議。</t>
    <phoneticPr fontId="5" type="noConversion"/>
  </si>
  <si>
    <t>硝酸鹽感應影響植物生理、植物發育、氮利用效率的整合研究_106-2923-B-001-001-MY3</t>
    <phoneticPr fontId="5" type="noConversion"/>
  </si>
  <si>
    <t>420032王廷方老師-J7計畫結餘款再運用</t>
    <phoneticPr fontId="5" type="noConversion"/>
  </si>
  <si>
    <t>420068陳俊安老師-J7計畫結餘款再運用</t>
    <phoneticPr fontId="5" type="noConversion"/>
  </si>
  <si>
    <t>420023蕭傳鐙老師-J7計畫結餘款再運用</t>
    <phoneticPr fontId="5" type="noConversion"/>
  </si>
  <si>
    <t>420029李英惠老師-J7計畫結餘款再運用</t>
    <phoneticPr fontId="5" type="noConversion"/>
  </si>
  <si>
    <t>420002趙裕展老師-J7計畫結餘款再運用</t>
    <phoneticPr fontId="5" type="noConversion"/>
  </si>
  <si>
    <t>420050余淑美老師-J7計畫結餘款再運用</t>
    <phoneticPr fontId="5" type="noConversion"/>
  </si>
  <si>
    <t>420068陳俊安老師-J7計畫結餘款再運用</t>
    <phoneticPr fontId="5" type="noConversion"/>
  </si>
  <si>
    <t>420045蔡宜芳老師-J7計畫結餘款再運用</t>
    <phoneticPr fontId="5" type="noConversion"/>
  </si>
  <si>
    <t>應邀赴英國Glasgow市出席｢第18屆國際植物細胞膜生物學會議｣。</t>
    <phoneticPr fontId="5" type="noConversion"/>
  </si>
  <si>
    <t>420005鍾邦柱老師-J7計畫結餘款再運用</t>
    <phoneticPr fontId="5" type="noConversion"/>
  </si>
  <si>
    <t>420042袁小琀老師-J7計畫結餘款再運用</t>
    <phoneticPr fontId="5" type="noConversion"/>
  </si>
  <si>
    <t>420043陳律佑老師-J7計畫結餘款再運用</t>
    <phoneticPr fontId="5" type="noConversion"/>
  </si>
  <si>
    <t>420050余淑美老師-J7計畫結餘款再運用</t>
    <phoneticPr fontId="5" type="noConversion"/>
  </si>
  <si>
    <t>420028張雯老師-J7計畫結餘款再運用</t>
    <phoneticPr fontId="5" type="noConversion"/>
  </si>
  <si>
    <t>420011薛一蘋老師-J7計畫結餘款再運用</t>
    <phoneticPr fontId="5" type="noConversion"/>
  </si>
  <si>
    <t>受University of Notre Dame, Cushwa Center for the Study of American Catholicism 邀請，前往美國參加「Global History and Catholicism」研討會。</t>
    <phoneticPr fontId="5" type="noConversion"/>
  </si>
  <si>
    <t>江戶與明治日本的臺灣歷史書寫_MOST 106-2628-H-001-002-MY3</t>
    <phoneticPr fontId="5" type="noConversion"/>
  </si>
  <si>
    <t>因執行科技部計畫「江戶與明治日本的臺灣歷史書寫」需要，前往首爾參加「The Fourth Asia Future Conference  2018」 ，並發表論文。</t>
    <phoneticPr fontId="5" type="noConversion"/>
  </si>
  <si>
    <t>南韓(Korea)</t>
    <phoneticPr fontId="5" type="noConversion"/>
  </si>
  <si>
    <t>首爾 (Seoul)</t>
    <phoneticPr fontId="5" type="noConversion"/>
  </si>
  <si>
    <t>本案已於107年在交通大學執行完畢，報告依科技部規定期限繳交；計畫於108年9月轉入中央研究院歷史語言研究所執行。</t>
    <phoneticPr fontId="5" type="noConversion"/>
  </si>
  <si>
    <t>職應邀於2019年10月17日至10月24日赴奧地利參加Taiwan-Austra Joint Seminar學術研討會。此次會議由Innsbruck Medical University主辦，會議主題為：Young Adults’ Job, Family and Well-being: Austria vs. Taiwan '。</t>
    <phoneticPr fontId="5" type="noConversion"/>
  </si>
  <si>
    <t>631619科技部_有機奈米精準醫學平台:快速分離循環腫瘤細胞與個人化藥物
篩選(1/3)_MOST 106-2119-M-001-023</t>
    <phoneticPr fontId="5" type="noConversion"/>
  </si>
  <si>
    <t>參加2018第十四屆海峽兩岸奈米科學與技術研討會CSWNST14</t>
    <phoneticPr fontId="5" type="noConversion"/>
  </si>
  <si>
    <t>107/6/21 至 107/06/24</t>
    <phoneticPr fontId="5" type="noConversion"/>
  </si>
  <si>
    <t>00043602,107年應付帳款未估列</t>
    <phoneticPr fontId="5" type="noConversion"/>
  </si>
  <si>
    <t>00040316,107年應付帳款未估列</t>
    <phoneticPr fontId="5" type="noConversion"/>
  </si>
  <si>
    <t>00040316,107年應付帳款少估列43,324元,實際支出333,273元</t>
    <phoneticPr fontId="5" type="noConversion"/>
  </si>
  <si>
    <t>420010簡正鼎老師-J7計畫結餘款再運用</t>
    <phoneticPr fontId="5" type="noConversion"/>
  </si>
  <si>
    <t>420011薛一蘋老師-J7計畫結餘款再運用</t>
    <phoneticPr fontId="5" type="noConversion"/>
  </si>
  <si>
    <t>420032王廷方老師-J7計畫結餘款再運用</t>
    <phoneticPr fontId="5" type="noConversion"/>
  </si>
  <si>
    <t>420043陳律佑老師-J7計畫結餘款再運用</t>
    <phoneticPr fontId="5" type="noConversion"/>
  </si>
  <si>
    <r>
      <t>臺灣</t>
    </r>
    <r>
      <rPr>
        <sz val="10"/>
        <color indexed="8"/>
        <rFont val="細明體"/>
        <family val="3"/>
        <charset val="136"/>
      </rPr>
      <t>-奧地利(MOST-FWF)雙邊研討會_108-2911-I-001-518</t>
    </r>
  </si>
  <si>
    <r>
      <rPr>
        <sz val="10"/>
        <color indexed="8"/>
        <rFont val="細明體"/>
        <family val="3"/>
        <charset val="136"/>
      </rPr>
      <t>茵斯布魯克(Innsbruck)</t>
    </r>
    <phoneticPr fontId="2" type="noConversion"/>
  </si>
  <si>
    <r>
      <t xml:space="preserve">00053215
</t>
    </r>
    <r>
      <rPr>
        <sz val="10"/>
        <color indexed="8"/>
        <rFont val="細明體"/>
        <family val="3"/>
        <charset val="136"/>
      </rPr>
      <t>列108年應付帳款</t>
    </r>
    <phoneticPr fontId="2" type="noConversion"/>
  </si>
  <si>
    <r>
      <rPr>
        <sz val="10"/>
        <color indexed="8"/>
        <rFont val="細明體"/>
        <family val="3"/>
        <charset val="136"/>
      </rPr>
      <t>列108年應付帳款/經費分攤,於基因體研究中心申請出國差旅,生化所核銷</t>
    </r>
    <phoneticPr fontId="2" type="noConversion"/>
  </si>
  <si>
    <r>
      <rPr>
        <sz val="10"/>
        <color indexed="8"/>
        <rFont val="細明體"/>
        <family val="3"/>
        <charset val="136"/>
      </rPr>
      <t>列108年應付帳款/經費分攤,於生物醫學科學研究所申請出國差旅,生化所核銷</t>
    </r>
    <phoneticPr fontId="2" type="noConversion"/>
  </si>
  <si>
    <r>
      <t>00050466,  107年應付帳款未估列</t>
    </r>
    <r>
      <rPr>
        <sz val="10"/>
        <color theme="1"/>
        <rFont val="Calibri"/>
        <family val="2"/>
      </rPr>
      <t/>
    </r>
    <phoneticPr fontId="5" type="noConversion"/>
  </si>
  <si>
    <r>
      <t>出席國際會議-The 26th Colloquium on High-Resolution Molecular Spectroscopy HRMS,口頭報告</t>
    </r>
    <r>
      <rPr>
        <sz val="10"/>
        <color theme="1"/>
        <rFont val="Calibri"/>
        <family val="2"/>
      </rPr>
      <t/>
    </r>
    <phoneticPr fontId="5" type="noConversion"/>
  </si>
  <si>
    <r>
      <rPr>
        <sz val="10"/>
        <color indexed="8"/>
        <rFont val="細明體"/>
        <family val="3"/>
        <charset val="136"/>
      </rPr>
      <t>臺灣-奧地利(MOST-FWF)雙邊研討會_108-2911-I-001-518</t>
    </r>
    <phoneticPr fontId="2" type="noConversion"/>
  </si>
  <si>
    <r>
      <rPr>
        <sz val="10"/>
        <color indexed="8"/>
        <rFont val="細明體"/>
        <family val="3"/>
        <charset val="136"/>
      </rPr>
      <t>奧地利(Austria)</t>
    </r>
    <phoneticPr fontId="2" type="noConversion"/>
  </si>
  <si>
    <t>00048068 ,     The EGU General Assembly 2019, the largest geosciences meeting in Europe, brings together thousands of geoscientists from all over the world into one meeting.</t>
    <phoneticPr fontId="2" type="noConversion"/>
  </si>
  <si>
    <t>進修</t>
    <phoneticPr fontId="2" type="noConversion"/>
  </si>
  <si>
    <t>訪問合計</t>
    <phoneticPr fontId="2" type="noConversion"/>
  </si>
  <si>
    <t>進修合計</t>
    <phoneticPr fontId="2" type="noConversion"/>
  </si>
  <si>
    <t>108/12/13-108/12/16</t>
    <phoneticPr fontId="5" type="noConversion"/>
  </si>
  <si>
    <t>108/12/08-108/12/16</t>
    <phoneticPr fontId="5" type="noConversion"/>
  </si>
  <si>
    <t>行動擴增實境之顯示解析度與影格率動態調節研究_107-2628-E-001-001-MY3</t>
    <phoneticPr fontId="5" type="noConversion"/>
  </si>
  <si>
    <t>財務非結構化數據之分析、理解及其應用_107-2628-E-001-006-MY3</t>
    <phoneticPr fontId="5" type="noConversion"/>
  </si>
  <si>
    <t>智慧型照護互動系統-基於深度智能之口語處理技術(2/4)_MOST108-2634-F-008-004</t>
    <phoneticPr fontId="5" type="noConversion"/>
  </si>
  <si>
    <t>利用軟硬體協同設計改善非揮發性記憶體效能_107-2218-E-001-004-MY3</t>
    <phoneticPr fontId="5" type="noConversion"/>
  </si>
  <si>
    <t>參加會議：參加會議：Thirty-third Conference on Neural Information Processing Systems，並發表論文</t>
    <phoneticPr fontId="5" type="noConversion"/>
  </si>
  <si>
    <t>加拿大(Canada)</t>
    <phoneticPr fontId="5" type="noConversion"/>
  </si>
  <si>
    <t>溫哥華(Vancouver)(10/16-04/30)</t>
    <phoneticPr fontId="5" type="noConversion"/>
  </si>
  <si>
    <t>計畫結餘款再運用-何建明老師</t>
    <phoneticPr fontId="5" type="noConversion"/>
  </si>
  <si>
    <t>參加會議：IEEE 全球通訊會議 (Globecom 2019)並發表論文</t>
    <phoneticPr fontId="5" type="noConversion"/>
  </si>
  <si>
    <t>夏威夷州(State of Hawaii)</t>
    <phoneticPr fontId="5" type="noConversion"/>
  </si>
  <si>
    <t>實習合計</t>
    <phoneticPr fontId="5" type="noConversion"/>
  </si>
  <si>
    <t>開會合計</t>
    <phoneticPr fontId="2" type="noConversion"/>
  </si>
  <si>
    <t>赴美國休士頓與古巴哈瓦那參與進行移地研究。</t>
    <phoneticPr fontId="5" type="noConversion"/>
  </si>
  <si>
    <t>108/03/18-108/04/04</t>
    <phoneticPr fontId="5" type="noConversion"/>
  </si>
  <si>
    <t>美國(U.S.A.)古巴(Cuba)</t>
    <phoneticPr fontId="5" type="noConversion"/>
  </si>
  <si>
    <t>休士頓(Houston,Texas)哈瓦那(Havana)</t>
    <phoneticPr fontId="5" type="noConversion"/>
  </si>
  <si>
    <t>赴哥斯大黎加聖荷西進行實驗研究事宜及赴瑞士巴塞爾參加Utas 2019會議並發表論文。</t>
    <phoneticPr fontId="5" type="noConversion"/>
  </si>
  <si>
    <t>108/08/04-108/12/09</t>
    <phoneticPr fontId="5" type="noConversion"/>
  </si>
  <si>
    <t>哥斯大黎加(Costa Rica)瑞士(Switzerland)</t>
    <phoneticPr fontId="5" type="noConversion"/>
  </si>
  <si>
    <t>聖荷西(San Jose)巴塞爾(Basel)</t>
    <phoneticPr fontId="5" type="noConversion"/>
  </si>
  <si>
    <t>前往日本富山與美國參與KAGRA計畫及學術交流相關研究工作。</t>
    <phoneticPr fontId="5" type="noConversion"/>
  </si>
  <si>
    <t>108/02/10-108/04/22</t>
    <phoneticPr fontId="5" type="noConversion"/>
  </si>
  <si>
    <t>日本(Japan)美國(U.S.A.)</t>
    <phoneticPr fontId="5" type="noConversion"/>
  </si>
  <si>
    <t>富山 大阪(Osaka)Boulder PASCO</t>
    <phoneticPr fontId="5" type="noConversion"/>
  </si>
  <si>
    <t>赴瑞士日內瓦歐洲粒子物理研究中心(CERN)從事ATLAS實驗研究工作</t>
    <phoneticPr fontId="5" type="noConversion"/>
  </si>
  <si>
    <t>107/11/01-108/09/30</t>
    <phoneticPr fontId="5" type="noConversion"/>
  </si>
  <si>
    <t>赴日本、澳大利亞及美國進行X光等相關研究及學術交流</t>
    <phoneticPr fontId="5" type="noConversion"/>
  </si>
  <si>
    <t>108/11/30-108/12/14</t>
    <phoneticPr fontId="5" type="noConversion"/>
  </si>
  <si>
    <t>日本(Japan)澳大利亞(Australia)美國(U.S.A.)</t>
    <phoneticPr fontId="5" type="noConversion"/>
  </si>
  <si>
    <t>兵庫雪梨(Sudeny)夏威夷州(State of Hawaii)</t>
    <phoneticPr fontId="5" type="noConversion"/>
  </si>
  <si>
    <t>科技部補助 "星際甘氨酸形成之機制研究" 經費
編號: 108-2911-I-001-508</t>
    <phoneticPr fontId="5" type="noConversion"/>
  </si>
  <si>
    <t>計畫名稱：星際甘氨酸形成之機制研究 內容：擬使用先進的量子化學計算研究甘氨酸在冰粒表面的形成機制。為了解釋在空間中觀察複雜分子的形成，我們設計的計算化學方法中將考慮水分</t>
    <phoneticPr fontId="5" type="noConversion"/>
  </si>
  <si>
    <t>108/08/21-108/09/01</t>
    <phoneticPr fontId="5" type="noConversion"/>
  </si>
  <si>
    <t>法國(France)</t>
    <phoneticPr fontId="5" type="noConversion"/>
  </si>
  <si>
    <t>蒙彼利埃      巴黎(Paris)</t>
    <phoneticPr fontId="5" type="noConversion"/>
  </si>
  <si>
    <t>00039925匯差跨年度支出收回</t>
    <phoneticPr fontId="2" type="noConversion"/>
  </si>
  <si>
    <t>赴日本名古屋大學與合作對象松岡信教授等討論水稻地方品種馴化等分析事宜</t>
    <phoneticPr fontId="2" type="noConversion"/>
  </si>
  <si>
    <t>地函動力模式:熱傳導係數垠性探討_107-2116-M-001-010-</t>
    <phoneticPr fontId="2" type="noConversion"/>
  </si>
  <si>
    <t>培育科技菁英計畫</t>
    <phoneticPr fontId="2" type="noConversion"/>
  </si>
  <si>
    <r>
      <t>371720</t>
    </r>
    <r>
      <rPr>
        <sz val="10"/>
        <color indexed="8"/>
        <rFont val="細明體"/>
        <family val="3"/>
        <charset val="136"/>
      </rPr>
      <t>科技部_有限回饋下的線上學習_106-2221-E-001-005-MY3</t>
    </r>
    <phoneticPr fontId="2" type="noConversion"/>
  </si>
  <si>
    <t>大陸地區旅費</t>
    <phoneticPr fontId="2" type="noConversion"/>
  </si>
  <si>
    <t>The 10th Asian Conference on Machine Learning (ACML)</t>
    <phoneticPr fontId="2" type="noConversion"/>
  </si>
  <si>
    <r>
      <t xml:space="preserve">107/11/13 </t>
    </r>
    <r>
      <rPr>
        <sz val="10"/>
        <color indexed="8"/>
        <rFont val="細明體"/>
        <family val="3"/>
        <charset val="136"/>
      </rPr>
      <t>至107/11/17</t>
    </r>
    <phoneticPr fontId="2" type="noConversion"/>
  </si>
  <si>
    <r>
      <rPr>
        <sz val="10"/>
        <color indexed="8"/>
        <rFont val="細明體"/>
        <family val="3"/>
        <charset val="136"/>
      </rPr>
      <t>中國大陸(China)</t>
    </r>
    <phoneticPr fontId="2" type="noConversion"/>
  </si>
  <si>
    <r>
      <rPr>
        <sz val="10"/>
        <color indexed="8"/>
        <rFont val="細明體"/>
        <family val="3"/>
        <charset val="136"/>
      </rPr>
      <t>北京(Beijing)</t>
    </r>
    <phoneticPr fontId="2" type="noConversion"/>
  </si>
  <si>
    <r>
      <t>00045423,   107</t>
    </r>
    <r>
      <rPr>
        <sz val="10"/>
        <color indexed="8"/>
        <rFont val="細明體"/>
        <family val="3"/>
        <charset val="136"/>
      </rPr>
      <t>年原列232國外旅費,應為233大陸旅費,108年轉正。</t>
    </r>
    <phoneticPr fontId="2" type="noConversion"/>
  </si>
  <si>
    <t>國外旅費</t>
    <phoneticPr fontId="5" type="noConversion"/>
  </si>
  <si>
    <t>結餘款再運用</t>
    <phoneticPr fontId="5" type="noConversion"/>
  </si>
  <si>
    <t>前往美國加州大學戴維斯分校參訪研究</t>
    <phoneticPr fontId="5" type="noConversion"/>
  </si>
  <si>
    <t>108/12/19-109/01/07</t>
    <phoneticPr fontId="5" type="noConversion"/>
  </si>
  <si>
    <t>美國</t>
    <phoneticPr fontId="5" type="noConversion"/>
  </si>
  <si>
    <t>加州大學戴維斯分校</t>
    <phoneticPr fontId="5" type="noConversion"/>
  </si>
  <si>
    <t>00053324，列108年應付帳款,尚未繳交報告及核銷</t>
    <phoneticPr fontId="5" type="noConversion"/>
  </si>
  <si>
    <t>1.出席國際會議-The 13th Annual meeting of Japan Society for Molecular Science並發表研究成果 2.訪問Institute for Molecular Science</t>
    <phoneticPr fontId="5" type="noConversion"/>
  </si>
  <si>
    <t>因執行研究計畫需要，奉派前往日本靜岡縣靜岡市之「靜岡大學」進行藍綠菌基因轉殖與蛋白質純化分析實驗。</t>
    <phoneticPr fontId="5" type="noConversion"/>
  </si>
  <si>
    <t>赴美國亞利桑那州土桑市(Tuscon)生物圈二號(Biosphere 2)進行計畫相關學術研討，以利發展在臺研究計畫進度。</t>
    <phoneticPr fontId="2" type="noConversion"/>
  </si>
  <si>
    <t>赴日本大阪出席會議，並發表論文。</t>
    <phoneticPr fontId="2" type="noConversion"/>
  </si>
  <si>
    <t>107/12/11-107/12/20</t>
    <phoneticPr fontId="2" type="noConversion"/>
  </si>
  <si>
    <t>日本(Japan)</t>
    <phoneticPr fontId="5" type="noConversion"/>
  </si>
  <si>
    <t>江戶與明治日本的臺灣歷史書寫_MOST 106-2628-H-001-002-MY3</t>
    <phoneticPr fontId="5" type="noConversion"/>
  </si>
  <si>
    <t>因執行科技部計畫「江戶與明治日本的臺灣歷史書寫」需要，前往東京進行移地研究及蒐集資料。</t>
    <phoneticPr fontId="5" type="noConversion"/>
  </si>
  <si>
    <t>106/08/01-106/08/08</t>
    <phoneticPr fontId="5" type="noConversion"/>
  </si>
  <si>
    <t>東京 (Tokyo)</t>
    <phoneticPr fontId="5" type="noConversion"/>
  </si>
  <si>
    <t>本案已於106年在交通大學執行完畢，報告依科技部規定期限繳交；計畫於108年9月轉入中央研究院歷史語言研究所執行。</t>
    <phoneticPr fontId="5" type="noConversion"/>
  </si>
  <si>
    <t>因執行科技部計畫「江戶與明治日本的臺灣歷史書寫」需要，前往岡山、名古屋進行移地研究及蒐集資料。</t>
    <phoneticPr fontId="5" type="noConversion"/>
  </si>
  <si>
    <t>107/02/05-107/02/17</t>
    <phoneticPr fontId="5" type="noConversion"/>
  </si>
  <si>
    <t>日本(Japan)</t>
    <phoneticPr fontId="5" type="noConversion"/>
  </si>
  <si>
    <t>岡山
名古屋</t>
    <phoneticPr fontId="5" type="noConversion"/>
  </si>
  <si>
    <t>本案已於107年在交通大學執行完畢，報告依科技部規定期限繳交；計畫於108年9月轉入中央研究院歷史語言研究所執行。</t>
    <phoneticPr fontId="5" type="noConversion"/>
  </si>
  <si>
    <t>江戶與明治日本的臺灣歷史書寫_MOST 106-2628-H-001-002-MY3</t>
    <phoneticPr fontId="5" type="noConversion"/>
  </si>
  <si>
    <t>因執行科技部計畫「江戶與明治日本的臺灣歷史書寫」需要，前往京都、名古屋進行移地研究及蒐集資料。</t>
    <phoneticPr fontId="5" type="noConversion"/>
  </si>
  <si>
    <t>108/02/07-108/02/18</t>
    <phoneticPr fontId="5" type="noConversion"/>
  </si>
  <si>
    <t>京都 (Kyoto)
名古屋</t>
    <phoneticPr fontId="5" type="noConversion"/>
  </si>
  <si>
    <t>本案已於108年2月在交通大學執行完畢；計畫於108年9月轉入中央研究院歷史語言研究所執行。</t>
    <phoneticPr fontId="5" type="noConversion"/>
  </si>
  <si>
    <t xml:space="preserve"> 日本宮城縣仙台市等地進行資料蒐集與田野調查包括俗世朝聖、災難與記憶等。</t>
    <phoneticPr fontId="5" type="noConversion"/>
  </si>
  <si>
    <t>執行科技部專題研究計畫「荷蘭時代熱蘭遮市鎮唐人市民的生活1643-1662」所需及參加「2019年國際地圖史會議（2019 International Conference on the History of Cartography）」國際學術研討會，赴荷蘭海牙、阿姆斯特丹等地，進行研究資料的蒐集。</t>
    <phoneticPr fontId="2" type="noConversion"/>
  </si>
  <si>
    <t>人文組年輕學者進修計畫</t>
    <phoneticPr fontId="2" type="noConversion"/>
  </si>
  <si>
    <t>擬於108年11月20日至27日赴韓國首爾進行田野資料蒐集。預計11月27日返國。所需經費共計 92,188元；以個人107年度科技部計畫國外差旅費作為出差之經費使用。後因受訪者眾，加上配合受訪者時間，不及於期限內完成田野工作，故延至11/28返國。</t>
    <phoneticPr fontId="5" type="noConversion"/>
  </si>
  <si>
    <t>赴日本東京進行田野資料蒐集。預計11月10出發，並於11月18日返國。所需經費共計75,160元；以個人科技部國外差旅費作為出差之經費使用。後因提早結束田野工作提早至11月16日返國。</t>
    <phoneticPr fontId="2" type="noConversion"/>
  </si>
  <si>
    <t>赴南京大學物理學院開展合作研究</t>
    <phoneticPr fontId="5" type="noConversion"/>
  </si>
  <si>
    <t>107/11/26 至 107/12/31</t>
    <phoneticPr fontId="5" type="noConversion"/>
  </si>
  <si>
    <t>南京(Nanjing)</t>
    <phoneticPr fontId="5" type="noConversion"/>
  </si>
  <si>
    <t>00046172,科研基金出232轉為233</t>
    <phoneticPr fontId="5" type="noConversion"/>
  </si>
  <si>
    <t>國外旅費</t>
    <phoneticPr fontId="2" type="noConversion"/>
  </si>
  <si>
    <t>108/10/17-108/10/24</t>
    <phoneticPr fontId="2" type="noConversion"/>
  </si>
  <si>
    <r>
      <rPr>
        <sz val="10"/>
        <color indexed="8"/>
        <rFont val="細明體"/>
        <family val="3"/>
        <charset val="136"/>
      </rPr>
      <t>奧地利(Austria)</t>
    </r>
    <phoneticPr fontId="2" type="noConversion"/>
  </si>
  <si>
    <r>
      <rPr>
        <sz val="10"/>
        <color indexed="8"/>
        <rFont val="細明體"/>
        <family val="3"/>
        <charset val="136"/>
      </rPr>
      <t>茵斯布魯克(Innsbruck)</t>
    </r>
    <phoneticPr fontId="2" type="noConversion"/>
  </si>
  <si>
    <r>
      <t>00051114</t>
    </r>
    <r>
      <rPr>
        <sz val="10"/>
        <color indexed="8"/>
        <rFont val="細明體"/>
        <family val="3"/>
        <charset val="136"/>
      </rPr>
      <t>因公出國系統在社會所，由人社中心核銷。</t>
    </r>
    <phoneticPr fontId="2" type="noConversion"/>
  </si>
  <si>
    <t>與國外頂尖大學合作培訓博士後人員</t>
    <phoneticPr fontId="5" type="noConversion"/>
  </si>
  <si>
    <t>人工智慧技術研發與其在金融上之應用委託研究計畫_32T-1080318-1Q</t>
    <phoneticPr fontId="5" type="noConversion"/>
  </si>
  <si>
    <t>研究，邀請單位：The Hebrew University of Jerusalem</t>
    <phoneticPr fontId="5" type="noConversion"/>
  </si>
  <si>
    <t>108/12/13-108/12/22</t>
    <phoneticPr fontId="5" type="noConversion"/>
  </si>
  <si>
    <t>耶路撒冷(Jerusalem)</t>
    <phoneticPr fontId="5" type="noConversion"/>
  </si>
  <si>
    <t>耶路撒冷(Jerusalem)</t>
    <phoneticPr fontId="5" type="noConversion"/>
  </si>
  <si>
    <t>研究，邀請單位：The Hebrew University of Jerusalem</t>
    <phoneticPr fontId="5" type="noConversion"/>
  </si>
  <si>
    <t>108/12/13-108/12/22</t>
    <phoneticPr fontId="5" type="noConversion"/>
  </si>
  <si>
    <t>研究合計</t>
    <phoneticPr fontId="2" type="noConversion"/>
  </si>
  <si>
    <t>接受補助或委託計畫</t>
    <phoneticPr fontId="2" type="noConversion"/>
  </si>
  <si>
    <t>年度別</t>
    <phoneticPr fontId="2" type="noConversion"/>
  </si>
  <si>
    <t>地點</t>
    <phoneticPr fontId="2" type="noConversion"/>
  </si>
  <si>
    <t>起迄日期</t>
    <phoneticPr fontId="2" type="noConversion"/>
  </si>
  <si>
    <t>經費來源</t>
    <phoneticPr fontId="2" type="noConversion"/>
  </si>
  <si>
    <t>決算金額    (含保留數)</t>
    <phoneticPr fontId="2" type="noConversion"/>
  </si>
  <si>
    <t xml:space="preserve"> </t>
    <phoneticPr fontId="2" type="noConversion"/>
  </si>
  <si>
    <t>0004689                  報告於結案時一併繳交</t>
    <phoneticPr fontId="2" type="noConversion"/>
  </si>
  <si>
    <t>00049902                                    報告於結案時一併繳交</t>
    <phoneticPr fontId="2" type="noConversion"/>
  </si>
  <si>
    <t>00048162                        報告於結案時一併繳交</t>
    <phoneticPr fontId="2" type="noConversion"/>
  </si>
  <si>
    <t>00046368                        報告於結案時一併繳交</t>
    <phoneticPr fontId="2" type="noConversion"/>
  </si>
  <si>
    <t>00049032                        報告於結案時一併繳交</t>
    <phoneticPr fontId="2" type="noConversion"/>
  </si>
  <si>
    <t>00046852                    報告於結案時一併繳交</t>
    <phoneticPr fontId="2" type="noConversion"/>
  </si>
  <si>
    <t>00047563                        報告於結案時一併繳交</t>
    <phoneticPr fontId="2" type="noConversion"/>
  </si>
  <si>
    <t>00050576                   報告於結案時一併繳交</t>
    <phoneticPr fontId="2" type="noConversion"/>
  </si>
  <si>
    <t>00050539                      報告於結案時一併繳交</t>
    <phoneticPr fontId="2" type="noConversion"/>
  </si>
  <si>
    <t>00047476                         報告於結案時一併繳交</t>
    <phoneticPr fontId="5" type="noConversion"/>
  </si>
  <si>
    <t>00052517                         1.108年度應付帳款為92,444元(多預估4,437元)，實際支出為88,007元(108年度尚未核銷)。2.報告於結案時一併繳交。</t>
    <phoneticPr fontId="2" type="noConversion"/>
  </si>
  <si>
    <t>00050156                         1.108年度應付帳款為58,247元(多預估4,700元)，實際支出為53,547元(108年度尚未核銷)。2.補助單位未要求繳交,故無須提出報告。</t>
    <phoneticPr fontId="2" type="noConversion"/>
  </si>
  <si>
    <t>00050154                                     1.108年度應付帳款為58,247元(多預估4,700元)，實際支出為53,547元(108年度尚未核銷)。2.補助單位未要求繳交,故無須提出報告</t>
    <phoneticPr fontId="5" type="noConversion"/>
  </si>
  <si>
    <t>00047509                         報告於結案時一併繳交</t>
    <phoneticPr fontId="2" type="noConversion"/>
  </si>
  <si>
    <t>00046680                      報告於結案時一併繳交</t>
    <phoneticPr fontId="2" type="noConversion"/>
  </si>
  <si>
    <t>00047401                         報告於結案時一併繳交</t>
    <phoneticPr fontId="2" type="noConversion"/>
  </si>
  <si>
    <t>00048510                    報告於結案時一併繳交</t>
    <phoneticPr fontId="2" type="noConversion"/>
  </si>
  <si>
    <t>00046613                           報告於結案時一併繳交</t>
    <phoneticPr fontId="2" type="noConversion"/>
  </si>
  <si>
    <t>00047903報告於結案時一併繳交</t>
    <phoneticPr fontId="2" type="noConversion"/>
  </si>
  <si>
    <t>00049751                               報告於結案時一併繳交</t>
    <phoneticPr fontId="2" type="noConversion"/>
  </si>
  <si>
    <t>00049020                         報告於結案時一併繳交</t>
    <phoneticPr fontId="2" type="noConversion"/>
  </si>
  <si>
    <t>00050672                         報告於結案時一併繳交</t>
    <phoneticPr fontId="2" type="noConversion"/>
  </si>
  <si>
    <t>00050453                       報告於結案時一併繳交</t>
    <phoneticPr fontId="2" type="noConversion"/>
  </si>
  <si>
    <t>00050478                        報告於結案時一併繳交</t>
    <phoneticPr fontId="2" type="noConversion"/>
  </si>
  <si>
    <t>00047653                        報告於結案時一併繳交</t>
    <phoneticPr fontId="2" type="noConversion"/>
  </si>
  <si>
    <t>00047599                      報告於結案時一併繳交</t>
    <phoneticPr fontId="2" type="noConversion"/>
  </si>
  <si>
    <t>00049296                      報告於結案時一併繳交</t>
    <phoneticPr fontId="2" type="noConversion"/>
  </si>
  <si>
    <t>00049319                     報告於結案時一併繳交</t>
    <phoneticPr fontId="2" type="noConversion"/>
  </si>
  <si>
    <t>00050398                     報告於結案時一併繳交</t>
    <phoneticPr fontId="2" type="noConversion"/>
  </si>
  <si>
    <t>00048656                          出國報告連同結案報告一併繳交</t>
    <phoneticPr fontId="2" type="noConversion"/>
  </si>
  <si>
    <t>00047546                      計畫尚未到期，報告尚未繳交</t>
    <phoneticPr fontId="2" type="noConversion"/>
  </si>
  <si>
    <t>00050770                      Use of the MOST grant was extended to 9/31</t>
    <phoneticPr fontId="2" type="noConversion"/>
  </si>
  <si>
    <t>00050923                      計畫未結案併期末報告一併繳交</t>
    <phoneticPr fontId="2" type="noConversion"/>
  </si>
  <si>
    <t>00051356                     計畫未結案併期末報告一併繳交</t>
    <phoneticPr fontId="2" type="noConversion"/>
  </si>
  <si>
    <t>00050503                              出國報告連同結案報告一併繳交</t>
    <phoneticPr fontId="2" type="noConversion"/>
  </si>
  <si>
    <t>00047079                       報告於結案時一併繳交</t>
    <phoneticPr fontId="2" type="noConversion"/>
  </si>
  <si>
    <t>00048629                     報告於結案時一併繳交</t>
    <phoneticPr fontId="2" type="noConversion"/>
  </si>
  <si>
    <t>00049337                     補助單位未要求繳交,故無須提出報告</t>
    <phoneticPr fontId="2" type="noConversion"/>
  </si>
  <si>
    <t>00050675                 報告於結案時一併繳交</t>
    <phoneticPr fontId="2" type="noConversion"/>
  </si>
  <si>
    <t>00050293                         為配合作業提早繳交報告</t>
    <phoneticPr fontId="2" type="noConversion"/>
  </si>
  <si>
    <t>00048408                      出國報告連同結案報告一併繳交。</t>
    <phoneticPr fontId="2" type="noConversion"/>
  </si>
  <si>
    <t>00051490                      出國報告連同結案報告一併繳交。</t>
    <phoneticPr fontId="2" type="noConversion"/>
  </si>
  <si>
    <t>00051824                     出國報告連同結案報告一併繳交。</t>
    <phoneticPr fontId="2" type="noConversion"/>
  </si>
  <si>
    <t>00050361                     出國報告連同結案報告一併繳交。</t>
    <phoneticPr fontId="2" type="noConversion"/>
  </si>
  <si>
    <t>00043294                   統計所 MOST107-2118-M-001-011-MY3分攤62,000元、本院農生中心MOST107-2321-B-001-038-擔任共同主持人，分攤會議期間機票款、保險費、註冊費及生活費(含回程4/28~29移動日)73,840元，實際補助金額以回國後核銷為準。</t>
    <phoneticPr fontId="2" type="noConversion"/>
  </si>
  <si>
    <t>00047041                     報告於結案時一併繳交</t>
    <phoneticPr fontId="2" type="noConversion"/>
  </si>
  <si>
    <t>00050800                     多年期計畫尚未結案併期末報告一併繳交</t>
    <phoneticPr fontId="2" type="noConversion"/>
  </si>
  <si>
    <t>00045595
於108年1月份列為支出。</t>
    <phoneticPr fontId="2" type="noConversion"/>
  </si>
  <si>
    <t>00051114                   1.生活費、交通費(長途大眾陸運工具)：11,524元，由伊慶春特聘研究員主持之科技部計畫108-2410-H-001-092-【邁入老年初期的年輕成人父母之生命軌跡：文化規範與個人資源的影響】支應。(決算11,100) 2.交通費(機票)、保險費：51,725元，由人社中心蔡明璋研究員主持之科技部計畫108-2911-I-001-518【臺灣-奧地利(MOST-FWF)雙邊研討會】支應。(決算51,725)</t>
    <phoneticPr fontId="2" type="noConversion"/>
  </si>
  <si>
    <t>00051114                     收回溢支935元傳票日期號碼：108.12.13＃618639</t>
    <phoneticPr fontId="2" type="noConversion"/>
  </si>
  <si>
    <t>00046743                     計畫未結案併期末報告一併繳交</t>
    <phoneticPr fontId="2" type="noConversion"/>
  </si>
  <si>
    <t>00048787                   16th  AOGS2019 Annual meeting. The Session I will speak on is The Science and Prediction of Tropical Cyclones. In this session, tropical cyclone dynamics with wider range will be discussed.</t>
    <phoneticPr fontId="2" type="noConversion"/>
  </si>
  <si>
    <t>00052664                   經簽准同意因蔡宜君老師會前突遇公公膽結石反覆感染住院需長期休養。期間陪同家人協助照顧觀察治療，故不克出席該國際會議</t>
    <phoneticPr fontId="2" type="noConversion"/>
  </si>
  <si>
    <t>00051080                使用計畫結餘款666636李時雨經費來源</t>
    <phoneticPr fontId="2" type="noConversion"/>
  </si>
  <si>
    <t xml:space="preserve">00049063                    報告於結案時一併繳交
</t>
    <phoneticPr fontId="2" type="noConversion"/>
  </si>
  <si>
    <t>00047730                       補助單位為民間企業未要求繳交,故無須提出報告</t>
    <phoneticPr fontId="2" type="noConversion"/>
  </si>
  <si>
    <t>00047064                  於計畫結案時一併繳交</t>
    <phoneticPr fontId="2" type="noConversion"/>
  </si>
  <si>
    <t>00049864                                  補助單位為民間企業未要求繳交,故無須提出報告</t>
    <phoneticPr fontId="2" type="noConversion"/>
  </si>
  <si>
    <t>00049864                    於計畫結案時一併繳交</t>
    <phoneticPr fontId="2" type="noConversion"/>
  </si>
  <si>
    <t>00048772                        計畫尚未到期，報告尚未繳交</t>
    <phoneticPr fontId="2" type="noConversion"/>
  </si>
  <si>
    <t>00048716                  於計畫結案時一併繳交</t>
    <phoneticPr fontId="2" type="noConversion"/>
  </si>
  <si>
    <t>00053070                     計畫尚未到期，報告尚未繳交</t>
    <phoneticPr fontId="2" type="noConversion"/>
  </si>
  <si>
    <t>00050978                     Beilstein Institut補助機票費USD1,000，依預估匯率32換算約NTD32,000</t>
    <phoneticPr fontId="2" type="noConversion"/>
  </si>
  <si>
    <t>00049894                      返國後接續參加其他會議及研究,致報告延遲繳交</t>
    <phoneticPr fontId="2" type="noConversion"/>
  </si>
  <si>
    <t>00051278                          報告於結案時一併繳交</t>
    <phoneticPr fontId="2" type="noConversion"/>
  </si>
  <si>
    <t>00050571                      報告於結案時一併繳交</t>
    <phoneticPr fontId="2" type="noConversion"/>
  </si>
  <si>
    <t>00051107                     報告於結案時一併繳交</t>
    <phoneticPr fontId="2" type="noConversion"/>
  </si>
  <si>
    <t>00050193                   返國後接續參加其他會議及研究,致報告延遲繳交</t>
    <phoneticPr fontId="2" type="noConversion"/>
  </si>
  <si>
    <t>00053018                             報告於結案時一併繳交</t>
    <phoneticPr fontId="2" type="noConversion"/>
  </si>
  <si>
    <t>00046987                        報告於結案時一併繳交</t>
    <phoneticPr fontId="2" type="noConversion"/>
  </si>
  <si>
    <t>00047380                                 報告於結案時一併繳交</t>
    <phoneticPr fontId="2" type="noConversion"/>
  </si>
  <si>
    <t>00046829                    報告於結案時一併繳交</t>
    <phoneticPr fontId="2" type="noConversion"/>
  </si>
  <si>
    <t>00047377                     報告於結案時一併繳交</t>
    <phoneticPr fontId="2" type="noConversion"/>
  </si>
  <si>
    <t>00047202                       報告於結案時一併繳交</t>
    <phoneticPr fontId="2" type="noConversion"/>
  </si>
  <si>
    <t>00051979                      報告於結案時一併繳交</t>
    <phoneticPr fontId="2" type="noConversion"/>
  </si>
  <si>
    <t>00048707                    報告於結案時一併繳交</t>
    <phoneticPr fontId="2" type="noConversion"/>
  </si>
  <si>
    <t>00047942                   報告於結案時一併繳交</t>
    <phoneticPr fontId="2" type="noConversion"/>
  </si>
  <si>
    <t>00047267                   報告於結案時一併繳交</t>
    <phoneticPr fontId="2" type="noConversion"/>
  </si>
  <si>
    <t>00047565                       報告於結案時一併繳交</t>
    <phoneticPr fontId="2" type="noConversion"/>
  </si>
  <si>
    <t>00047877                     報告於結案時一併繳交</t>
    <phoneticPr fontId="2" type="noConversion"/>
  </si>
  <si>
    <t>00047945                    報告於結案時一併繳交</t>
    <phoneticPr fontId="2" type="noConversion"/>
  </si>
  <si>
    <t>00047882                   報告於結案時一併繳交</t>
    <phoneticPr fontId="2" type="noConversion"/>
  </si>
  <si>
    <t>00050486                  報告於結案時一併繳交</t>
    <phoneticPr fontId="2" type="noConversion"/>
  </si>
  <si>
    <t>00049533                  報告於結案時一併繳交</t>
    <phoneticPr fontId="2" type="noConversion"/>
  </si>
  <si>
    <t>00048858                  報告於結案時一併繳交</t>
    <phoneticPr fontId="2" type="noConversion"/>
  </si>
  <si>
    <t>00050603                           報名於結案時一併繳交</t>
    <phoneticPr fontId="5" type="noConversion"/>
  </si>
  <si>
    <t>00048739                        報告於結案時一併繳交</t>
    <phoneticPr fontId="2" type="noConversion"/>
  </si>
  <si>
    <t>00047268                     報告於結案時一併繳交</t>
    <phoneticPr fontId="2" type="noConversion"/>
  </si>
  <si>
    <t>00046599                 報告於結案時一併繳交</t>
    <phoneticPr fontId="2" type="noConversion"/>
  </si>
  <si>
    <t>00046963                      出國報告連同結案報告一併繳交</t>
    <phoneticPr fontId="2" type="noConversion"/>
  </si>
  <si>
    <t>00050858                      生活費補助上限1242美金(核銷時依出國前一日台銀即期賣出匯率計算),申請以美金匯率32預估</t>
    <phoneticPr fontId="2" type="noConversion"/>
  </si>
  <si>
    <t>00050853                    生活費補助上限1242美金(核銷時依出國前一日台銀即期賣出匯率計算),申請以美金匯率32預估</t>
    <phoneticPr fontId="2" type="noConversion"/>
  </si>
  <si>
    <t>00050740                    僅補助機票不足額12,000元</t>
    <phoneticPr fontId="2" type="noConversion"/>
  </si>
  <si>
    <t>00048341                    院方依「本院獎助院內人員短期赴國外學術研究機構合作研究試行要點」第五點(二)核定50,000元(108.5.16國際事務字第1080504260號函)，差額由本所業務費分攤(劉長萱研究員M)</t>
    <phoneticPr fontId="2" type="noConversion"/>
  </si>
  <si>
    <t>00046822                      MOST107-2118-M-001-011-MY 3分攤移地研究48,062元、本院農生中 心MOST107-2321-B-001-038-擔 任共同主持人，分攤會議122,316元。</t>
    <phoneticPr fontId="2" type="noConversion"/>
  </si>
  <si>
    <t>00043294                       統計所 MOST107-2118-M-001-011-MY3分攤62,000元、本院農生中心MOST107-2321-B-001-038-擔任共同主持人，分攤會議期間機票款、保險費、註冊費及生活費(含回程4/28~29移動日)73,840元，實際補助金額以回國後核銷為準。</t>
    <phoneticPr fontId="2" type="noConversion"/>
  </si>
  <si>
    <t>00047247                    出國報告連同結案報告一併繳交。</t>
    <phoneticPr fontId="2" type="noConversion"/>
  </si>
  <si>
    <t>00049349                    報告於結案時一併繳交。</t>
    <phoneticPr fontId="2" type="noConversion"/>
  </si>
  <si>
    <t>00052076                  於計畫結案時一併繳交</t>
    <phoneticPr fontId="2" type="noConversion"/>
  </si>
  <si>
    <t>00048918                     於計畫結案時一併繳交</t>
    <phoneticPr fontId="2" type="noConversion"/>
  </si>
  <si>
    <t>00051605                     多年期計畫尚未結案併期末報告一併繳交。</t>
    <phoneticPr fontId="2" type="noConversion"/>
  </si>
  <si>
    <t>00049644                    多年期計畫尚未結案併期末報告一併繳交。</t>
    <phoneticPr fontId="2" type="noConversion"/>
  </si>
  <si>
    <t>00045080                      多年期計畫尚未結案併期末報告一併繳交</t>
    <phoneticPr fontId="2" type="noConversion"/>
  </si>
  <si>
    <t>00047829                      多年期計畫尚未結案併期末報告一併繳交</t>
    <phoneticPr fontId="2" type="noConversion"/>
  </si>
  <si>
    <t>00051658                        多年期計畫尚未結案併期末報告一併繳交。</t>
    <phoneticPr fontId="2" type="noConversion"/>
  </si>
  <si>
    <t>00051873                        由原編列之第1年核定之移地研究費用項下支應，並已變更移地研究地點由菲律賓改為日本獲核准。</t>
    <phoneticPr fontId="2" type="noConversion"/>
  </si>
  <si>
    <t xml:space="preserve">00049372                     1.本計畫原申請前往日本進行移地研究，已申請變更赴德國進行移地研究並獲核准，詳變更核准表。 </t>
    <phoneticPr fontId="2" type="noConversion"/>
  </si>
  <si>
    <t>00047372                         計畫未結案併期末報告一併繳交</t>
    <phoneticPr fontId="2" type="noConversion"/>
  </si>
  <si>
    <t>00048216                     執行深度減碳計畫之區域氣候與大氣環境監測研究計畫之需，跟美國Aerodyne Research公司購買Aerosol Mass Spectrometer儀器，這套儀器可以即時監測環境大氣中，氣溶膠的質量電荷與粒徑分布。可以對氣溶膠之硫酸鹽SO4(2-)、硝酸鹽NO3-、銨NH4+和有機物等做定量與分析。 此行赴美國Aerodyne Research公司，學習Aerosol Mass Spectrometer儀器的操作使用和校正維護。</t>
    <phoneticPr fontId="2" type="noConversion"/>
  </si>
  <si>
    <t>00047040                       執行農業施肥對大氣反應性氮化物收支及空氣品質之影響研究計畫，農業施肥對大氣反應性氮化物收支及空氣品質之影響之需，跟美國Aerodyne Research公司購買TILDAS Monitor儀器，這套儀器可以測量空氣中的硝酸氣(HNO3)和亞硝酸氣(HONO)，此行赴美國Aerodyne Research公司，學習TILDAS Monitor儀器的操作使用和校正維護.</t>
    <phoneticPr fontId="2" type="noConversion"/>
  </si>
  <si>
    <t>00046557                   出國報告連同結案報告一併繳交</t>
    <phoneticPr fontId="2" type="noConversion"/>
  </si>
  <si>
    <t>00049188                       補助單位為民間企業未要求繳交,故無須提出報告</t>
    <phoneticPr fontId="2" type="noConversion"/>
  </si>
  <si>
    <t>00046713                              於計畫結案時一併繳交</t>
    <phoneticPr fontId="2" type="noConversion"/>
  </si>
  <si>
    <t>00047128                         於計畫結案時一併繳交</t>
    <phoneticPr fontId="2" type="noConversion"/>
  </si>
  <si>
    <t>00046716                       於計畫結案時一併繳交</t>
    <phoneticPr fontId="2" type="noConversion"/>
  </si>
  <si>
    <t>00048258                  於計畫結案時一併繳交</t>
    <phoneticPr fontId="2" type="noConversion"/>
  </si>
  <si>
    <t>00049768                     於計畫結案時一併繳交</t>
    <phoneticPr fontId="2" type="noConversion"/>
  </si>
  <si>
    <t>00047673                     於計畫結案時一併繳交</t>
    <phoneticPr fontId="2" type="noConversion"/>
  </si>
  <si>
    <t>00050532                  於計畫結案時一併繳交</t>
    <phoneticPr fontId="2" type="noConversion"/>
  </si>
  <si>
    <t>00049528                     補助單位未要求繳交,故無須提出報告</t>
    <phoneticPr fontId="2" type="noConversion"/>
  </si>
  <si>
    <t>00050961                    於計畫結案時一併繳交</t>
    <phoneticPr fontId="2" type="noConversion"/>
  </si>
  <si>
    <t>00050660                     於計畫結案時一併繳交</t>
    <phoneticPr fontId="2" type="noConversion"/>
  </si>
  <si>
    <t>00048490                     於計畫結案時一併繳交</t>
    <phoneticPr fontId="2" type="noConversion"/>
  </si>
  <si>
    <t>00051928                       計畫尚未到期，報告尚未繳交</t>
    <phoneticPr fontId="2" type="noConversion"/>
  </si>
  <si>
    <t>00049113                         報告於結案時一併繳交</t>
    <phoneticPr fontId="2" type="noConversion"/>
  </si>
  <si>
    <t>00047587                   報告於結案時一併繳交</t>
    <phoneticPr fontId="2" type="noConversion"/>
  </si>
  <si>
    <t>00047450                    報告於結案時一併繳交</t>
    <phoneticPr fontId="2" type="noConversion"/>
  </si>
  <si>
    <t>00052457                    報告於結案時一併繳交</t>
    <phoneticPr fontId="2" type="noConversion"/>
  </si>
  <si>
    <t>00050657                     生技醫藥轉譯創新發展計畫擬分攤美金一千元旅費，台幣金額依出國前一日台銀美金即期賣出匯率計算。</t>
    <phoneticPr fontId="2" type="noConversion"/>
  </si>
  <si>
    <t>00049486                             計畫未結案併期末報告一併繳交</t>
    <phoneticPr fontId="2" type="noConversion"/>
  </si>
  <si>
    <r>
      <rPr>
        <sz val="10"/>
        <color indexed="8"/>
        <rFont val="細明體"/>
        <family val="3"/>
        <charset val="136"/>
      </rPr>
      <t>參加Plant and Animal Genome XXVII國際研討會</t>
    </r>
    <phoneticPr fontId="2" type="noConversion"/>
  </si>
  <si>
    <r>
      <rPr>
        <sz val="10"/>
        <color indexed="8"/>
        <rFont val="細明體"/>
        <family val="3"/>
        <charset val="136"/>
      </rPr>
      <t>參加2019日台植物生物學國際研討會，並張貼海報</t>
    </r>
    <phoneticPr fontId="2" type="noConversion"/>
  </si>
  <si>
    <r>
      <rPr>
        <sz val="10"/>
        <color indexed="8"/>
        <rFont val="細明體"/>
        <family val="3"/>
        <charset val="136"/>
      </rPr>
      <t>參加國際研討會Japan-Taiwan Plant Biology 2019並擔任演講人</t>
    </r>
    <phoneticPr fontId="2" type="noConversion"/>
  </si>
  <si>
    <r>
      <rPr>
        <sz val="10"/>
        <color indexed="8"/>
        <rFont val="細明體"/>
        <family val="3"/>
        <charset val="136"/>
      </rPr>
      <t>參與ICASS 2019: 3rd International Conference on Applied Surface Science國際研討會議，並以學術海報發表</t>
    </r>
    <phoneticPr fontId="2" type="noConversion"/>
  </si>
  <si>
    <r>
      <rPr>
        <sz val="10"/>
        <color indexed="8"/>
        <rFont val="細明體"/>
        <family val="3"/>
        <charset val="136"/>
      </rPr>
      <t>參與8月3-7日於美國加州聖荷西舉辦之Plant Biology 2019。 並於8月8-9日赴加州大學戴維斯分校討論中研院與UCD在植物與微生物學雙邊合作之備忘錄。</t>
    </r>
    <phoneticPr fontId="2" type="noConversion"/>
  </si>
  <si>
    <r>
      <rPr>
        <sz val="10"/>
        <color indexed="8"/>
        <rFont val="細明體"/>
        <family val="3"/>
        <charset val="136"/>
      </rPr>
      <t>赴英國參加國際學術會議、受邀演講、及參訪學術機構。 1. 7/08-10: 受邀參訪John Innes Centre. 2. 7/12: 出席BRIGIT蟲媒植物病原研討會(Edinburgh, UK), 受邀演講 3. 7/14-18: 出席IS-MPMI國際植物微生物分子互動學會研討會(Glasgow, UK), 受邀演講</t>
    </r>
    <phoneticPr fontId="2" type="noConversion"/>
  </si>
  <si>
    <r>
      <rPr>
        <sz val="10"/>
        <color indexed="8"/>
        <rFont val="細明體"/>
        <family val="3"/>
        <charset val="136"/>
      </rPr>
      <t>前往馬來西亞吉隆坡參加Microbiome for Agriculture Congress: Asia會議，並擔任guest speaker，發表研究成果。</t>
    </r>
    <phoneticPr fontId="2" type="noConversion"/>
  </si>
  <si>
    <r>
      <rPr>
        <sz val="10"/>
        <color indexed="8"/>
        <rFont val="細明體"/>
        <family val="3"/>
        <charset val="136"/>
      </rPr>
      <t>參加美國植物學會年會 (Plant Biology 2019) 及植物合成生物學會議 (Plant Synthetic Biology 2019)。</t>
    </r>
    <phoneticPr fontId="2" type="noConversion"/>
  </si>
  <si>
    <r>
      <rPr>
        <sz val="10"/>
        <color indexed="8"/>
        <rFont val="細明體"/>
        <family val="3"/>
        <charset val="136"/>
      </rPr>
      <t>參與美國華盛頓特區舉辦的2019 ASCB/EMBO meeting, 並張貼壁報發表研究成果</t>
    </r>
    <phoneticPr fontId="2" type="noConversion"/>
  </si>
  <si>
    <r>
      <rPr>
        <sz val="10"/>
        <color indexed="8"/>
        <rFont val="細明體"/>
        <family val="3"/>
        <charset val="136"/>
      </rPr>
      <t>與科技部生科司及國內各參展單位組團參加MEDICA專業醫療器材展與論壇和會議</t>
    </r>
    <phoneticPr fontId="2" type="noConversion"/>
  </si>
  <si>
    <r>
      <rPr>
        <sz val="10"/>
        <color indexed="8"/>
        <rFont val="細明體"/>
        <family val="3"/>
        <charset val="136"/>
      </rPr>
      <t>參與2019戈登會-微生物附著及訊息傳導會議。</t>
    </r>
    <phoneticPr fontId="2" type="noConversion"/>
  </si>
  <si>
    <r>
      <rPr>
        <sz val="10"/>
        <color indexed="8"/>
        <rFont val="細明體"/>
        <family val="3"/>
        <charset val="136"/>
      </rPr>
      <t>參與 2019 台日植物學年會會議 (Japan-Taiwan Plant Biology, JTPB 2019) 以及 2019 Post-Transcriptional Gene Regulation in Plants (PGRP) 會議</t>
    </r>
    <phoneticPr fontId="2" type="noConversion"/>
  </si>
  <si>
    <r>
      <rPr>
        <sz val="10"/>
        <color indexed="8"/>
        <rFont val="細明體"/>
        <family val="3"/>
        <charset val="136"/>
      </rPr>
      <t>參加第24屆國際RNA學會年度會議 (RNA 2019)，並發表壁報論文。</t>
    </r>
    <phoneticPr fontId="2" type="noConversion"/>
  </si>
  <si>
    <r>
      <rPr>
        <sz val="10"/>
        <color indexed="8"/>
        <rFont val="細明體"/>
        <family val="3"/>
        <charset val="136"/>
      </rPr>
      <t>出席美國2019戈登光合作用研討會並發表壁報論文</t>
    </r>
    <r>
      <rPr>
        <sz val="10"/>
        <color indexed="8"/>
        <rFont val="Calibri"/>
        <family val="2"/>
      </rPr>
      <t/>
    </r>
    <phoneticPr fontId="2" type="noConversion"/>
  </si>
  <si>
    <r>
      <rPr>
        <sz val="10"/>
        <color indexed="8"/>
        <rFont val="細明體"/>
        <family val="3"/>
        <charset val="136"/>
      </rPr>
      <t>前往義大利米蘭大學與Carlo Camilloni教授討論科技部合作計畫並於該系所進行學術演講</t>
    </r>
    <phoneticPr fontId="2" type="noConversion"/>
  </si>
  <si>
    <r>
      <rPr>
        <sz val="10"/>
        <color indexed="8"/>
        <rFont val="細明體"/>
        <family val="3"/>
        <charset val="136"/>
      </rPr>
      <t>出國計畫名稱為「Mindfulness and Second-Wave Organic Farming Literature and Culture」，這次短訪主要希望親訪加州禪學中心與食物推廣中心蒐集資料，並且訪談當地有機農夫與作家。</t>
    </r>
    <phoneticPr fontId="2" type="noConversion"/>
  </si>
  <si>
    <r>
      <rPr>
        <sz val="10"/>
        <color indexed="8"/>
        <rFont val="細明體"/>
        <family val="3"/>
        <charset val="136"/>
      </rPr>
      <t>參加「Young adults' job,family and well-being : Austria vs Taiwan」會議並發表論文。</t>
    </r>
    <phoneticPr fontId="2" type="noConversion"/>
  </si>
  <si>
    <r>
      <rPr>
        <sz val="10"/>
        <color indexed="8"/>
        <rFont val="細明體"/>
        <family val="3"/>
        <charset val="136"/>
      </rPr>
      <t>參加亞洲區冷泉港-植物細胞及發育學會議並壁報講說。</t>
    </r>
    <phoneticPr fontId="2" type="noConversion"/>
  </si>
  <si>
    <r>
      <rPr>
        <sz val="10"/>
        <color indexed="8"/>
        <rFont val="細明體"/>
        <family val="3"/>
        <charset val="136"/>
      </rPr>
      <t>至英國劍橋大學植物科學系Julian Hibberd 教授實驗室進行研究。</t>
    </r>
    <phoneticPr fontId="2" type="noConversion"/>
  </si>
  <si>
    <r>
      <rPr>
        <sz val="10"/>
        <color indexed="8"/>
        <rFont val="細明體"/>
        <family val="3"/>
        <charset val="136"/>
      </rPr>
      <t>出國移地研究Penang Botanic Garden &amp; Forest Research Institute二處植物園竹類栽培區 。</t>
    </r>
    <phoneticPr fontId="2" type="noConversion"/>
  </si>
  <si>
    <r>
      <rPr>
        <sz val="10"/>
        <color indexed="8"/>
        <rFont val="細明體"/>
        <family val="3"/>
        <charset val="136"/>
      </rPr>
      <t>參加「Young adults' job,family and well-being : Austria vs Taiwan」會議並發表論文。</t>
    </r>
    <phoneticPr fontId="2" type="noConversion"/>
  </si>
  <si>
    <t>00047624                     報告於結案時一併繳交</t>
    <phoneticPr fontId="2" type="noConversion"/>
  </si>
  <si>
    <t>00049780                     報告於結案時一併繳交</t>
    <phoneticPr fontId="5" type="noConversion"/>
  </si>
  <si>
    <t>00048661                   出國報告連同結案報告一併繳交</t>
    <phoneticPr fontId="2" type="noConversion"/>
  </si>
  <si>
    <t>00046586                     報告於結案時一併繳交</t>
    <phoneticPr fontId="2" type="noConversion"/>
  </si>
  <si>
    <t>00047617                 多年期計畫尚未結案併期末報告一併繳交</t>
    <phoneticPr fontId="2" type="noConversion"/>
  </si>
  <si>
    <t>00047103                   報告於結案時一併繳交</t>
    <phoneticPr fontId="2" type="noConversion"/>
  </si>
  <si>
    <t>00052551                 於計畫結案時一併繳交</t>
    <phoneticPr fontId="2" type="noConversion"/>
  </si>
  <si>
    <t>00047985                  計畫未結案併期末報告一併繳交</t>
    <phoneticPr fontId="2" type="noConversion"/>
  </si>
  <si>
    <t>00050141                  計畫未結案併期末報告一併繳交</t>
    <phoneticPr fontId="2" type="noConversion"/>
  </si>
  <si>
    <t>00049968                       1.科技部補助中研院環境變遷研究中心廖文軒博士後研究員赴美國New Hampshire參加2019 Gordon Research Conference之費用，補助經費為新台幣60,000元。 2.補助編號：108-2914-I-001-028-A1</t>
    <phoneticPr fontId="2" type="noConversion"/>
  </si>
  <si>
    <t>00051846                    報告於結案時一併繳交</t>
    <phoneticPr fontId="2" type="noConversion"/>
  </si>
  <si>
    <t>00048380                           於計畫結案時一併繳交</t>
    <phoneticPr fontId="2" type="noConversion"/>
  </si>
  <si>
    <t>00047697                      補助單位為民間企業未要求繳交,故無須提出報告</t>
    <phoneticPr fontId="2" type="noConversion"/>
  </si>
  <si>
    <t>00049925                     補助單位為民間企業未要求繳交,故無須提出報告</t>
    <phoneticPr fontId="2" type="noConversion"/>
  </si>
  <si>
    <t>00050354                     於計畫結案時一併繳交</t>
    <phoneticPr fontId="2" type="noConversion"/>
  </si>
  <si>
    <t>00047697                    科技部補助國內專家學者出席國際學術會議Experimental Biology 2019 Meeting 108-2914-I-001 -006 -A1</t>
    <phoneticPr fontId="2" type="noConversion"/>
  </si>
  <si>
    <t>00046726                     計畫尚未到期，報告尚未繳交</t>
    <phoneticPr fontId="2" type="noConversion"/>
  </si>
  <si>
    <t>00046922                         於計畫結案時一併繳交</t>
    <phoneticPr fontId="2" type="noConversion"/>
  </si>
  <si>
    <t>00049311                    計畫尚未到期，報告尚未繳交</t>
    <phoneticPr fontId="2" type="noConversion"/>
  </si>
  <si>
    <t>00048948                        計畫尚未到期，報告尚未繳交</t>
    <phoneticPr fontId="2" type="noConversion"/>
  </si>
  <si>
    <t>00051023                    計畫尚未到期，報告尚未繳交</t>
    <phoneticPr fontId="2" type="noConversion"/>
  </si>
  <si>
    <t>00049517                                 計畫尚未到期，報告尚未繳交</t>
    <phoneticPr fontId="2" type="noConversion"/>
  </si>
  <si>
    <t>00051150                     計畫尚未到期，報告尚未繳交</t>
    <phoneticPr fontId="2" type="noConversion"/>
  </si>
  <si>
    <t>00051329                    於計畫結案時一併繳交</t>
    <phoneticPr fontId="2" type="noConversion"/>
  </si>
  <si>
    <t>00052316                        補助單位未要求繳交,故無須提出報告</t>
    <phoneticPr fontId="2" type="noConversion"/>
  </si>
  <si>
    <t>00052614                        計畫尚未到期，報告尚未繳交</t>
    <phoneticPr fontId="2" type="noConversion"/>
  </si>
  <si>
    <t>00051619                     報告於結案時一併繳交</t>
    <phoneticPr fontId="2" type="noConversion"/>
  </si>
  <si>
    <t>00048678                            5/15–17邀請單位補助部分機票款,屆時依實際補助金額核銷</t>
    <phoneticPr fontId="2" type="noConversion"/>
  </si>
  <si>
    <t>00052696                      使用666607何東垣老師結餘款再運用經費</t>
    <phoneticPr fontId="2" type="noConversion"/>
  </si>
  <si>
    <t>00053237                       使用陳韡鼐結餘款再運用經費。</t>
    <phoneticPr fontId="2" type="noConversion"/>
  </si>
  <si>
    <t>00047177                        報告於結案時一併繳交</t>
    <phoneticPr fontId="2" type="noConversion"/>
  </si>
  <si>
    <t>00051339                         報告於結案時一併繳交</t>
    <phoneticPr fontId="2" type="noConversion"/>
  </si>
  <si>
    <t>00051111                       報告於結案時一併繳交</t>
    <phoneticPr fontId="2" type="noConversion"/>
  </si>
  <si>
    <t>00051450                      報告於結案時一併繳交</t>
    <phoneticPr fontId="2" type="noConversion"/>
  </si>
  <si>
    <t>00049780                      報告於結案時一併繳交</t>
    <phoneticPr fontId="5" type="noConversion"/>
  </si>
  <si>
    <t>00052284                                   報告於結案時一併繳交</t>
    <phoneticPr fontId="2" type="noConversion"/>
  </si>
  <si>
    <t>00049443                     報告於結案時一併繳交</t>
    <phoneticPr fontId="2" type="noConversion"/>
  </si>
  <si>
    <t>00046841                 報告於結案時一併繳交</t>
    <phoneticPr fontId="2" type="noConversion"/>
  </si>
  <si>
    <t>00047381                 報告於結案時一併繳交</t>
    <phoneticPr fontId="2" type="noConversion"/>
  </si>
  <si>
    <t>00045914                 報告於結案時一併繳交</t>
    <phoneticPr fontId="2" type="noConversion"/>
  </si>
  <si>
    <t>00043073                      報告於結案時一併繳交</t>
    <phoneticPr fontId="2" type="noConversion"/>
  </si>
  <si>
    <t>00047908                  報告於結案時一併繳交</t>
    <phoneticPr fontId="2" type="noConversion"/>
  </si>
  <si>
    <t>00047518                    報告於結案時一併繳交</t>
    <phoneticPr fontId="2" type="noConversion"/>
  </si>
  <si>
    <t>00048703                  報告於結案時一併繳交</t>
    <phoneticPr fontId="2" type="noConversion"/>
  </si>
  <si>
    <t>00048394                 報告於結案時一併繳交</t>
    <phoneticPr fontId="2" type="noConversion"/>
  </si>
  <si>
    <t>00052520                     報告於結案時一併繳交</t>
    <phoneticPr fontId="2" type="noConversion"/>
  </si>
  <si>
    <t>00049094                        報告於結案時一併繳交</t>
    <phoneticPr fontId="2" type="noConversion"/>
  </si>
  <si>
    <t>00048442                      計畫未結案併期末報告一併繳交</t>
    <phoneticPr fontId="2" type="noConversion"/>
  </si>
  <si>
    <t>00047983                      經費來源：TPP-A3(50030)</t>
    <phoneticPr fontId="2" type="noConversion"/>
  </si>
  <si>
    <t>00051729                       經費來源：TPPA3旗艦計畫(50030配額)</t>
    <phoneticPr fontId="2" type="noConversion"/>
  </si>
  <si>
    <t>00050643                    台英計畫機票NT$27,771+GBP135.34、保險等</t>
    <phoneticPr fontId="2" type="noConversion"/>
  </si>
  <si>
    <t>00049240                      出國報告連同結案報告一併繳交。</t>
    <phoneticPr fontId="2" type="noConversion"/>
  </si>
  <si>
    <t>00047222                     出國報告連同結案報告一併繳交。</t>
    <phoneticPr fontId="2" type="noConversion"/>
  </si>
  <si>
    <t>00045795                    107年應付帳款預估數與實支數數差額，原估74,690; 實支54,746。</t>
    <phoneticPr fontId="2" type="noConversion"/>
  </si>
  <si>
    <t>00045763                     107年應付帳款預估數與實支數數差額，原估67,330; 實支40,362。</t>
    <phoneticPr fontId="2" type="noConversion"/>
  </si>
  <si>
    <t>00047277                    待計畫到期一併繳交</t>
    <phoneticPr fontId="2" type="noConversion"/>
  </si>
  <si>
    <t>00051551                  多年期計畫尚未結案併期末報告一併繳交。</t>
    <phoneticPr fontId="2" type="noConversion"/>
  </si>
  <si>
    <t>00053160                    計畫未結案併期末報告一併繳交</t>
    <phoneticPr fontId="2" type="noConversion"/>
  </si>
  <si>
    <t>00047355                 計畫未結案併期末報告一併繳交</t>
    <phoneticPr fontId="2" type="noConversion"/>
  </si>
  <si>
    <t>00050076                     666606龍世俊結餘款再運用經費來源</t>
    <phoneticPr fontId="2" type="noConversion"/>
  </si>
  <si>
    <t>00050658                    於計畫結案時一併繳交</t>
    <phoneticPr fontId="2" type="noConversion"/>
  </si>
  <si>
    <t>00049069                   於計畫結案時一併繳交</t>
    <phoneticPr fontId="2" type="noConversion"/>
  </si>
  <si>
    <t>00048848                      補助單位未要求繳交,故無須提出報告</t>
    <phoneticPr fontId="2" type="noConversion"/>
  </si>
  <si>
    <t>00050841                    生活費補助上限2000美金(核銷時依出國前一日台銀即期賣出匯率計算),申請以美金匯率32預估</t>
    <phoneticPr fontId="2" type="noConversion"/>
  </si>
  <si>
    <t>00050984                    生活費補助上限1242美金(核銷時依出國前一日台銀即期賣出匯率計算),申請以美金匯率32預估</t>
    <phoneticPr fontId="2" type="noConversion"/>
  </si>
  <si>
    <t>00050889                     生活費補助上限2000美金(核銷時依出國前一日台銀即期賣出匯率計算),申請以美金匯率32預估</t>
    <phoneticPr fontId="2" type="noConversion"/>
  </si>
  <si>
    <t>00046821                       報告於結案時一併繳交</t>
    <phoneticPr fontId="2" type="noConversion"/>
  </si>
  <si>
    <t>00049404                        報告於結案時一併繳交</t>
    <phoneticPr fontId="2" type="noConversion"/>
  </si>
  <si>
    <t>00050348                     台法(FR)國合計畫</t>
    <phoneticPr fontId="2" type="noConversion"/>
  </si>
  <si>
    <t>00047769                    出國報告連同結案報告一併繳交。</t>
    <phoneticPr fontId="2" type="noConversion"/>
  </si>
  <si>
    <t>00047314                    出國報告連同結案報告一併繳交。</t>
    <phoneticPr fontId="2" type="noConversion"/>
  </si>
  <si>
    <t>00050903                     出國報告連同結案報告一併繳交。</t>
    <phoneticPr fontId="2" type="noConversion"/>
  </si>
  <si>
    <t>00047049                 於計畫結案時一併繳交</t>
    <phoneticPr fontId="2" type="noConversion"/>
  </si>
  <si>
    <t>00046866                     於計畫結案時一併繳交</t>
    <phoneticPr fontId="2" type="noConversion"/>
  </si>
  <si>
    <t>00046591                  科技部報告於108.8.5繳交。</t>
    <phoneticPr fontId="2" type="noConversion"/>
  </si>
  <si>
    <t>00047395                   多年期計畫尚未結案併期末報告一併繳交。</t>
    <phoneticPr fontId="2" type="noConversion"/>
  </si>
  <si>
    <t>00051549                   多年期計畫尚未結案併期末報告一併繳交。</t>
    <phoneticPr fontId="2" type="noConversion"/>
  </si>
  <si>
    <t>00050506                     多年期計畫尚未結案併期末報告一併繳交。</t>
    <phoneticPr fontId="2" type="noConversion"/>
  </si>
  <si>
    <t>00046681                     報告於結案時一併繳交</t>
    <phoneticPr fontId="2" type="noConversion"/>
  </si>
  <si>
    <t>00046978                      多年期計畫尚未結案併期末報告一併繳交</t>
    <phoneticPr fontId="2" type="noConversion"/>
  </si>
  <si>
    <t>00050214                      計畫未結案併期末報告一併繳交</t>
    <phoneticPr fontId="2" type="noConversion"/>
  </si>
  <si>
    <t>00049183                  已申請變更獲准新增菲律賓馬尼拉為移地研究地點</t>
    <phoneticPr fontId="2" type="noConversion"/>
  </si>
  <si>
    <t>00048112                 科技部計畫申請書提及郭瓊雯為共同主持人。</t>
    <phoneticPr fontId="2" type="noConversion"/>
  </si>
  <si>
    <t>00050101                     辦理結案中，已繳交出國報告。</t>
    <phoneticPr fontId="2" type="noConversion"/>
  </si>
  <si>
    <t>00047129                  於計畫結案時一併繳交</t>
    <phoneticPr fontId="2" type="noConversion"/>
  </si>
  <si>
    <t>00048735                     於計畫結案時一併繳交</t>
    <phoneticPr fontId="2" type="noConversion"/>
  </si>
  <si>
    <t>00048493                 於計畫結案時一併繳交</t>
    <phoneticPr fontId="2" type="noConversion"/>
  </si>
  <si>
    <t>00049503                   於計畫結案時一併繳交</t>
    <phoneticPr fontId="2" type="noConversion"/>
  </si>
  <si>
    <t>00050664                    於計畫結案時一併繳交</t>
    <phoneticPr fontId="2" type="noConversion"/>
  </si>
  <si>
    <t>00050665                  於計畫結案時一併繳交</t>
    <phoneticPr fontId="2" type="noConversion"/>
  </si>
  <si>
    <t>00051926                    計畫尚未到期，報告尚未繳交</t>
    <phoneticPr fontId="2" type="noConversion"/>
  </si>
  <si>
    <t>00052614                   補助單位未要求繳交,故無須提出報告</t>
    <phoneticPr fontId="2" type="noConversion"/>
  </si>
  <si>
    <t>00052591                    補助單位未要求繳交,故無須提出報告</t>
    <phoneticPr fontId="2" type="noConversion"/>
  </si>
  <si>
    <t>00049957                     於計畫結案時一併繳交</t>
    <phoneticPr fontId="2" type="noConversion"/>
  </si>
  <si>
    <t>00053197                  計畫尚未到期，報告尚未繳交</t>
    <phoneticPr fontId="2" type="noConversion"/>
  </si>
  <si>
    <t>00053195                   計畫尚未到期，報告尚未繳交</t>
    <phoneticPr fontId="2" type="noConversion"/>
  </si>
  <si>
    <t>00053093                      計畫尚未到期，報告尚未繳交</t>
    <phoneticPr fontId="2" type="noConversion"/>
  </si>
  <si>
    <t>00053083                   計畫尚未到期，報告尚未繳交</t>
    <phoneticPr fontId="2" type="noConversion"/>
  </si>
  <si>
    <t>出國類別</t>
    <phoneticPr fontId="3" type="noConversion"/>
  </si>
  <si>
    <t>經費來源</t>
    <phoneticPr fontId="3" type="noConversion"/>
  </si>
  <si>
    <t>年度別</t>
    <phoneticPr fontId="3" type="noConversion"/>
  </si>
  <si>
    <t>起迄日期</t>
    <phoneticPr fontId="3" type="noConversion"/>
  </si>
  <si>
    <t>地點</t>
    <phoneticPr fontId="3" type="noConversion"/>
  </si>
  <si>
    <t>00048781               於計畫結案時一併繳交。</t>
    <phoneticPr fontId="3" type="noConversion"/>
  </si>
  <si>
    <t>00049873            於計畫結案時一併繳交。</t>
    <phoneticPr fontId="3" type="noConversion"/>
  </si>
  <si>
    <t>00050509           於計畫結案時一併繳交。</t>
    <phoneticPr fontId="3" type="noConversion"/>
  </si>
  <si>
    <t>00048904          於計畫結案時一併繳交。</t>
    <phoneticPr fontId="3" type="noConversion"/>
  </si>
  <si>
    <t>00052397          於計畫結案時一併繳交。</t>
    <phoneticPr fontId="3" type="noConversion"/>
  </si>
  <si>
    <t>00051962            於計畫結案時一併繳交。</t>
    <phoneticPr fontId="3" type="noConversion"/>
  </si>
  <si>
    <t>00051765           於計畫結案時一併繳交。</t>
    <phoneticPr fontId="3" type="noConversion"/>
  </si>
  <si>
    <t>00051757            於計畫結案時一併繳交。</t>
    <phoneticPr fontId="3" type="noConversion"/>
  </si>
  <si>
    <t>00051578             於計畫結案時一併繳交。</t>
    <phoneticPr fontId="3" type="noConversion"/>
  </si>
  <si>
    <t>00051754              於計畫結案時一併繳交。</t>
    <phoneticPr fontId="3" type="noConversion"/>
  </si>
  <si>
    <t>00052034           於計畫結案時一併繳交。</t>
    <phoneticPr fontId="3" type="noConversion"/>
  </si>
  <si>
    <t>00051756           於計畫結案時一併繳交。</t>
    <phoneticPr fontId="3" type="noConversion"/>
  </si>
  <si>
    <t>00051732            於計畫結案時一併繳交。</t>
    <phoneticPr fontId="3" type="noConversion"/>
  </si>
  <si>
    <t>00048982             於計畫結案時一併繳交。</t>
    <phoneticPr fontId="3" type="noConversion"/>
  </si>
  <si>
    <t>物理所小計</t>
    <phoneticPr fontId="5" type="noConversion"/>
  </si>
  <si>
    <t>植微所小計</t>
    <phoneticPr fontId="3" type="noConversion"/>
  </si>
  <si>
    <t>00050017             計畫未結案併期末報告一併繳交</t>
    <phoneticPr fontId="3" type="noConversion"/>
  </si>
  <si>
    <t>生化所小計</t>
    <phoneticPr fontId="3" type="noConversion"/>
  </si>
  <si>
    <t>地球所小計</t>
    <phoneticPr fontId="3" type="noConversion"/>
  </si>
  <si>
    <t>00048398             報告於結案時一併繳交</t>
    <phoneticPr fontId="3" type="noConversion"/>
  </si>
  <si>
    <t>00048612           報告於結案時一併繳交</t>
    <phoneticPr fontId="3" type="noConversion"/>
  </si>
  <si>
    <t>00047701            報告於結案時一併繳交</t>
    <phoneticPr fontId="3" type="noConversion"/>
  </si>
  <si>
    <t>00047701                報告於結案時一併繳交</t>
    <phoneticPr fontId="3" type="noConversion"/>
  </si>
  <si>
    <t>00048658           報告於結案時一併繳交</t>
    <phoneticPr fontId="3" type="noConversion"/>
  </si>
  <si>
    <t>00049384             報告於結案時一併繳交</t>
    <phoneticPr fontId="3" type="noConversion"/>
  </si>
  <si>
    <t>00053292               因香港局勢動盪，無法成行，規定要先註冊</t>
    <phoneticPr fontId="3" type="noConversion"/>
  </si>
  <si>
    <t>資訊所合計</t>
    <phoneticPr fontId="3" type="noConversion"/>
  </si>
  <si>
    <t>00052259            於計畫結案時一併繳交</t>
    <phoneticPr fontId="3" type="noConversion"/>
  </si>
  <si>
    <t>00052852            於計畫結案時一併繳交</t>
    <phoneticPr fontId="3" type="noConversion"/>
  </si>
  <si>
    <t>00051555            出國報告連同結案報告一併繳交。</t>
    <phoneticPr fontId="3" type="noConversion"/>
  </si>
  <si>
    <t>00049368           出國報告連同結案報告一併繳交。</t>
    <phoneticPr fontId="3" type="noConversion"/>
  </si>
  <si>
    <t>00048224            出國報告連同結案報告一併繳交。</t>
    <phoneticPr fontId="3" type="noConversion"/>
  </si>
  <si>
    <t>00050242          出國報告連同結案報告一併繳交。</t>
    <phoneticPr fontId="3" type="noConversion"/>
  </si>
  <si>
    <t>分生所小計</t>
    <phoneticPr fontId="3" type="noConversion"/>
  </si>
  <si>
    <t>天文所小計</t>
    <phoneticPr fontId="3" type="noConversion"/>
  </si>
  <si>
    <t>農生中心小計</t>
    <phoneticPr fontId="3" type="noConversion"/>
  </si>
  <si>
    <t>00050733,多年期計畫尚未到期，結案後一併繳交。</t>
    <phoneticPr fontId="3" type="noConversion"/>
  </si>
  <si>
    <t>00050881           補助單位未要求繳交,故無須提出報告。</t>
    <phoneticPr fontId="3" type="noConversion"/>
  </si>
  <si>
    <t>00050882          補助單位未要求繳交,故無須提出報告。</t>
    <phoneticPr fontId="3" type="noConversion"/>
  </si>
  <si>
    <t>00050855             補助單位未要求繳交,故無須提出報告。</t>
    <phoneticPr fontId="3" type="noConversion"/>
  </si>
  <si>
    <t>00049325           報告於結案時一併繳交。</t>
    <phoneticPr fontId="3" type="noConversion"/>
  </si>
  <si>
    <t>00050864           補助單位未要求繳交,故無須提出報告。</t>
    <phoneticPr fontId="3" type="noConversion"/>
  </si>
  <si>
    <t>史語所小計</t>
    <phoneticPr fontId="3" type="noConversion"/>
  </si>
  <si>
    <t>00051755           於計畫結案時一併繳交。</t>
    <phoneticPr fontId="3" type="noConversion"/>
  </si>
  <si>
    <t>00047731             報告於結案時一併繳交</t>
    <phoneticPr fontId="3" type="noConversion"/>
  </si>
  <si>
    <t>00049699            報告於結案時一併繳交</t>
    <phoneticPr fontId="3" type="noConversion"/>
  </si>
  <si>
    <t>民族所小計</t>
    <phoneticPr fontId="3" type="noConversion"/>
  </si>
  <si>
    <t>00050071            補助單位未要求繳交,故無須提出報告。</t>
    <phoneticPr fontId="3" type="noConversion"/>
  </si>
  <si>
    <t>00049857             補助單位未要求繳交,故無須提出報告。</t>
    <phoneticPr fontId="3" type="noConversion"/>
  </si>
  <si>
    <t>00049855            補助單位未要求繳交,故無須提出報告。</t>
    <phoneticPr fontId="3" type="noConversion"/>
  </si>
  <si>
    <t>00049761             補助單位未要求繳交,故無須提出報告。</t>
    <phoneticPr fontId="3" type="noConversion"/>
  </si>
  <si>
    <t>00049858,補助單位未要求繳交,故無須提出報告。</t>
    <phoneticPr fontId="3" type="noConversion"/>
  </si>
  <si>
    <t>00049644             補助單位未要求繳交,故無須提出報告。</t>
    <phoneticPr fontId="3" type="noConversion"/>
  </si>
  <si>
    <t>00052374              報告於結案時一併繳交。</t>
    <phoneticPr fontId="3" type="noConversion"/>
  </si>
  <si>
    <t>00050422           多年期計畫尚未結案併期末報告一併繳交。</t>
    <phoneticPr fontId="3" type="noConversion"/>
  </si>
  <si>
    <t>近史所小計</t>
    <phoneticPr fontId="5" type="noConversion"/>
  </si>
  <si>
    <t>經濟所小計</t>
    <phoneticPr fontId="5" type="noConversion"/>
  </si>
  <si>
    <t>00048922             計畫未結案併期末報告一併繳交</t>
    <phoneticPr fontId="3" type="noConversion"/>
  </si>
  <si>
    <t>00049098              計畫未結案併期末報告一併繳交</t>
    <phoneticPr fontId="3" type="noConversion"/>
  </si>
  <si>
    <t>文哲所小計</t>
    <phoneticPr fontId="2" type="noConversion"/>
  </si>
  <si>
    <t>台史所小計</t>
    <phoneticPr fontId="3" type="noConversion"/>
  </si>
  <si>
    <t>00050618                     依例由主辨單位負責大部分與會費用，本次僅申請「供膳宿」之日支生活費(十分之一)、移動日(8/30)生活費、全程保險費(8/21-30)，合計6,406元。</t>
    <phoneticPr fontId="3" type="noConversion"/>
  </si>
  <si>
    <t>00039060              106.12.13#616487因計畫尾款未匯入，以暫付款支付；107.01.05轉帳＃617012轉帳誤置「國外旅費」於108年轉正#618075。</t>
    <phoneticPr fontId="3" type="noConversion"/>
  </si>
  <si>
    <t>社會所小計</t>
    <phoneticPr fontId="2" type="noConversion"/>
  </si>
  <si>
    <t>語言所小計</t>
    <phoneticPr fontId="5" type="noConversion"/>
  </si>
  <si>
    <t>應科中心小計</t>
    <phoneticPr fontId="5" type="noConversion"/>
  </si>
  <si>
    <t>00048133              2019年第11屆亞洲氣溶膠大會（AAC）為交流氣溶膠科學和技術之重要會議，更被視為亞洲研究人員和氣溶膠科學與工程專業人士的重要活動之一，此次會議預計將有500多名國際學者參加</t>
    <phoneticPr fontId="3" type="noConversion"/>
  </si>
  <si>
    <t>00051953            使用666607何東垣老師結餘款再運用經費.</t>
    <phoneticPr fontId="3" type="noConversion"/>
  </si>
  <si>
    <t>00050222          使用666615陳韡鼐老師計畫結餘款再運用經費.</t>
    <phoneticPr fontId="3" type="noConversion"/>
  </si>
  <si>
    <t>環變中心小計</t>
    <phoneticPr fontId="5" type="noConversion"/>
  </si>
  <si>
    <t>多樣中心小計</t>
    <phoneticPr fontId="5" type="noConversion"/>
  </si>
  <si>
    <t>基因體中心小計</t>
    <phoneticPr fontId="2" type="noConversion"/>
  </si>
  <si>
    <t>人社中心小計</t>
    <phoneticPr fontId="3" type="noConversion"/>
  </si>
  <si>
    <t>00048195          於計畫結案時一併繳交</t>
    <phoneticPr fontId="3" type="noConversion"/>
  </si>
  <si>
    <t>資創中心小計</t>
    <phoneticPr fontId="5" type="noConversion"/>
  </si>
  <si>
    <t>小計</t>
    <phoneticPr fontId="5" type="noConversion"/>
  </si>
  <si>
    <t>分生所小計</t>
    <phoneticPr fontId="3" type="noConversion"/>
  </si>
  <si>
    <t>00050439             徐麗芬實驗室</t>
    <phoneticPr fontId="3" type="noConversion"/>
  </si>
  <si>
    <t>經濟所小計</t>
    <phoneticPr fontId="3" type="noConversion"/>
  </si>
  <si>
    <t>歐美所小計</t>
    <phoneticPr fontId="3" type="noConversion"/>
  </si>
  <si>
    <t>環變中心</t>
    <phoneticPr fontId="3" type="noConversion"/>
  </si>
  <si>
    <t>資創中心</t>
    <phoneticPr fontId="3" type="noConversion"/>
  </si>
  <si>
    <t>資創中心小計</t>
    <phoneticPr fontId="5" type="noConversion"/>
  </si>
  <si>
    <t>數學所</t>
    <phoneticPr fontId="3" type="noConversion"/>
  </si>
  <si>
    <t>數學所小計</t>
    <phoneticPr fontId="3" type="noConversion"/>
  </si>
  <si>
    <t>物理所</t>
    <phoneticPr fontId="5" type="noConversion"/>
  </si>
  <si>
    <t>00051265          於計畫結案時一併繳交。</t>
    <phoneticPr fontId="3" type="noConversion"/>
  </si>
  <si>
    <t>00047145            於計畫結案時一併繳交。</t>
    <phoneticPr fontId="3" type="noConversion"/>
  </si>
  <si>
    <t>00047894            於計畫結案時一併繳交。</t>
    <phoneticPr fontId="3" type="noConversion"/>
  </si>
  <si>
    <t>00049527             於計畫結案時一併繳交。</t>
    <phoneticPr fontId="3" type="noConversion"/>
  </si>
  <si>
    <t>00050022             於計畫結案時一併繳交。</t>
    <phoneticPr fontId="3" type="noConversion"/>
  </si>
  <si>
    <t>00048781               會計帳務填錯，誤植於27Z。於109年度調帳</t>
    <phoneticPr fontId="3" type="noConversion"/>
  </si>
  <si>
    <t>物理所小計</t>
    <phoneticPr fontId="5" type="noConversion"/>
  </si>
  <si>
    <t>00050279              報告於結案時一併繳交</t>
    <phoneticPr fontId="3" type="noConversion"/>
  </si>
  <si>
    <t>化學所小計</t>
    <phoneticPr fontId="3" type="noConversion"/>
  </si>
  <si>
    <t>地球所</t>
    <phoneticPr fontId="3" type="noConversion"/>
  </si>
  <si>
    <t>地球所小計</t>
    <phoneticPr fontId="3" type="noConversion"/>
  </si>
  <si>
    <t>天文所小計</t>
    <phoneticPr fontId="3" type="noConversion"/>
  </si>
  <si>
    <t>史語所小計</t>
    <phoneticPr fontId="3" type="noConversion"/>
  </si>
  <si>
    <t>00045024           補助單位未要求繳交,故無須提出報告</t>
    <phoneticPr fontId="3" type="noConversion"/>
  </si>
  <si>
    <t>00047731                報告於結案時一併繳交</t>
    <phoneticPr fontId="3" type="noConversion"/>
  </si>
  <si>
    <t>00045017            補助單位未要求繳交,故無須提出報告</t>
    <phoneticPr fontId="3" type="noConversion"/>
  </si>
  <si>
    <t>00047990             多年期計畫尚未結案併期末報告一併繳交</t>
    <phoneticPr fontId="3" type="noConversion"/>
  </si>
  <si>
    <t>00049699            多年期計畫尚未結案併期末報告一併繳交</t>
    <phoneticPr fontId="3" type="noConversion"/>
  </si>
  <si>
    <t>00048010           多年期計畫尚未結案併期末報告一併繳交</t>
    <phoneticPr fontId="3" type="noConversion"/>
  </si>
  <si>
    <t>00050037          多年期計畫尚未結案併期末報告一併繳交</t>
    <phoneticPr fontId="3" type="noConversion"/>
  </si>
  <si>
    <t>民族所小計</t>
    <phoneticPr fontId="5" type="noConversion"/>
  </si>
  <si>
    <t>近史所</t>
    <phoneticPr fontId="5" type="noConversion"/>
  </si>
  <si>
    <t>00052150             報告於結案時一併繳交。</t>
    <phoneticPr fontId="3" type="noConversion"/>
  </si>
  <si>
    <t>00050250             報告於結案時一併繳交。</t>
    <phoneticPr fontId="3" type="noConversion"/>
  </si>
  <si>
    <t>00051920             多年期計畫尚未結案併期末報告一併繳交。</t>
    <phoneticPr fontId="3" type="noConversion"/>
  </si>
  <si>
    <t>近史所小計</t>
    <phoneticPr fontId="5" type="noConversion"/>
  </si>
  <si>
    <t>00048645             報告於結案時一併繳交</t>
    <phoneticPr fontId="3" type="noConversion"/>
  </si>
  <si>
    <t>00047491           多年期計畫尚未結案併期末報告一併繳交。</t>
    <phoneticPr fontId="3" type="noConversion"/>
  </si>
  <si>
    <t>00051938            多年期計畫尚未結案併期末報告一併繳交。</t>
    <phoneticPr fontId="3" type="noConversion"/>
  </si>
  <si>
    <t>經濟所小計</t>
    <phoneticPr fontId="3" type="noConversion"/>
  </si>
  <si>
    <t>文哲所</t>
    <phoneticPr fontId="3" type="noConversion"/>
  </si>
  <si>
    <t>00047231          計畫結案併期末報告一併繳交</t>
    <phoneticPr fontId="3" type="noConversion"/>
  </si>
  <si>
    <t>文哲所小計</t>
    <phoneticPr fontId="2" type="noConversion"/>
  </si>
  <si>
    <t>00051211            計畫未結案併期末報告一併繳交</t>
    <phoneticPr fontId="3" type="noConversion"/>
  </si>
  <si>
    <t>台史所小計</t>
    <phoneticPr fontId="2" type="noConversion"/>
  </si>
  <si>
    <t>社會所</t>
    <phoneticPr fontId="2" type="noConversion"/>
  </si>
  <si>
    <t>社會所小計</t>
    <phoneticPr fontId="2" type="noConversion"/>
  </si>
  <si>
    <t>語言所</t>
    <phoneticPr fontId="2" type="noConversion"/>
  </si>
  <si>
    <t>語言所小計</t>
    <phoneticPr fontId="3" type="noConversion"/>
  </si>
  <si>
    <t>政治所</t>
    <phoneticPr fontId="5" type="noConversion"/>
  </si>
  <si>
    <t>政治所小計</t>
    <phoneticPr fontId="5" type="noConversion"/>
  </si>
  <si>
    <t>應科中心</t>
    <phoneticPr fontId="5" type="noConversion"/>
  </si>
  <si>
    <t>應科中心小計</t>
    <phoneticPr fontId="5" type="noConversion"/>
  </si>
  <si>
    <t>環變中心</t>
    <phoneticPr fontId="5" type="noConversion"/>
  </si>
  <si>
    <t>多樣中心</t>
    <phoneticPr fontId="5" type="noConversion"/>
  </si>
  <si>
    <t>00053048          報告併於期中報告繳交</t>
    <phoneticPr fontId="3" type="noConversion"/>
  </si>
  <si>
    <t>00053045            報告併於期中報告繳交</t>
    <phoneticPr fontId="3" type="noConversion"/>
  </si>
  <si>
    <t>多樣中心小計</t>
    <phoneticPr fontId="5" type="noConversion"/>
  </si>
  <si>
    <t>00047363             補助單位未要求繳交,故無須提出報告</t>
    <phoneticPr fontId="3" type="noConversion"/>
  </si>
  <si>
    <t>基因體中心</t>
    <phoneticPr fontId="3" type="noConversion"/>
  </si>
  <si>
    <t>基因體中心小計</t>
    <phoneticPr fontId="2" type="noConversion"/>
  </si>
  <si>
    <t>人社中心</t>
    <phoneticPr fontId="2" type="noConversion"/>
  </si>
  <si>
    <t>00047324            補助單位為未要求繳交,故無須提出報告</t>
    <phoneticPr fontId="3" type="noConversion"/>
  </si>
  <si>
    <t>人社中心小計</t>
    <phoneticPr fontId="2" type="noConversion"/>
  </si>
  <si>
    <t>原分所</t>
    <phoneticPr fontId="3" type="noConversion"/>
  </si>
  <si>
    <t>統計所小計</t>
    <phoneticPr fontId="3" type="noConversion"/>
  </si>
  <si>
    <t>原分所小計</t>
    <phoneticPr fontId="3" type="noConversion"/>
  </si>
  <si>
    <t>00052084            於計畫結案時一併繳交。</t>
    <phoneticPr fontId="3" type="noConversion"/>
  </si>
  <si>
    <t>00051589            於計畫結案時一併繳交。</t>
    <phoneticPr fontId="3" type="noConversion"/>
  </si>
  <si>
    <t>00049170            補助單位未要求繳交,故無須提出報告</t>
    <phoneticPr fontId="3" type="noConversion"/>
  </si>
  <si>
    <t>00049860             補助單位未要求繳交,故無須提出報告。</t>
    <phoneticPr fontId="3" type="noConversion"/>
  </si>
  <si>
    <t>00049709             補助單位未要求繳交,故無須提出報告。</t>
    <phoneticPr fontId="3" type="noConversion"/>
  </si>
  <si>
    <t>00049859             補助單位未要求繳交,故無須提出報告。</t>
    <phoneticPr fontId="3" type="noConversion"/>
  </si>
  <si>
    <t>00049861            補助單位未要求繳交,故無須提出報告。</t>
    <phoneticPr fontId="3" type="noConversion"/>
  </si>
  <si>
    <t>00052508            多年期計畫尚未結案併期末報告一併繳交。</t>
    <phoneticPr fontId="3" type="noConversion"/>
  </si>
  <si>
    <t>00050695            計畫未結案併期末報告一併繳交</t>
    <phoneticPr fontId="3" type="noConversion"/>
  </si>
  <si>
    <t>00051765           於計畫結案時一併繳交。</t>
    <phoneticPr fontId="3" type="noConversion"/>
  </si>
  <si>
    <t>00051705           於計畫結案時一併繳交。</t>
    <phoneticPr fontId="3" type="noConversion"/>
  </si>
  <si>
    <t>00051753          於計畫結案時一併繳交。</t>
    <phoneticPr fontId="3" type="noConversion"/>
  </si>
  <si>
    <t>00051698           於計畫結案時一併繳交。</t>
    <phoneticPr fontId="3" type="noConversion"/>
  </si>
  <si>
    <t>00049384          報告於結案時一併繳交</t>
    <phoneticPr fontId="3" type="noConversion"/>
  </si>
  <si>
    <t>00049093             出國報告連同結案報告一併繳交</t>
    <phoneticPr fontId="3" type="noConversion"/>
  </si>
  <si>
    <t>00049920           補助單位未要求繳交,故無須提出報告。</t>
    <phoneticPr fontId="3" type="noConversion"/>
  </si>
  <si>
    <t>00049770              補助單位未要求繳交,故無須提出報告。</t>
    <phoneticPr fontId="3" type="noConversion"/>
  </si>
  <si>
    <t>00048429             多年期計畫尚未結案併期末報告一併繳交。</t>
    <phoneticPr fontId="3" type="noConversion"/>
  </si>
  <si>
    <t>00048936               多年期計畫尚未結案併期末報告一併繳交。</t>
    <phoneticPr fontId="3" type="noConversion"/>
  </si>
  <si>
    <t>00051048              計畫未結案併期末報告一併繳交</t>
    <phoneticPr fontId="3" type="noConversion"/>
  </si>
  <si>
    <t>全院總計</t>
    <phoneticPr fontId="2" type="noConversion"/>
  </si>
  <si>
    <t>全院總計</t>
    <phoneticPr fontId="3" type="noConversion"/>
  </si>
  <si>
    <t>00050618                 依例由主辨單位負責大部分與會費用，本次僅申請蘭州至北京之機票費、辦公費項下之「禮品交際及雜費」(四天)，合計6,184元。</t>
    <phoneticPr fontId="3" type="noConversion"/>
  </si>
  <si>
    <t>台灣地區社會變遷基本調查研究-台灣地區社會變遷基本調查研究第七期(IV-V)_107-2420-H-001-003-SS2</t>
    <phoneticPr fontId="3" type="noConversion"/>
  </si>
  <si>
    <t>大陸地區旅費</t>
    <phoneticPr fontId="3" type="noConversion"/>
  </si>
  <si>
    <t>「參加東亞社會調查之年度會議及宗教議題圓桌會議」。台灣社會變遷基本調查計畫為東亞社會調查合作計畫之重要成員，本次參加於北京舉行之年度會議，以及於鄭州舉行之宗教議題圓桌會議，以利規劃後續合作調查之項目。</t>
    <phoneticPr fontId="3" type="noConversion"/>
  </si>
  <si>
    <t>108/08/21-108/08/30</t>
    <phoneticPr fontId="3" type="noConversion"/>
  </si>
  <si>
    <t>甘肅 北京市 河南</t>
    <phoneticPr fontId="3" type="noConversion"/>
  </si>
  <si>
    <t>蘭州 北京(Beijing) 鄭州(Zhengzhou)</t>
    <phoneticPr fontId="3" type="noConversion"/>
  </si>
  <si>
    <t>00051593                 報告於結案時一併繳交</t>
    <phoneticPr fontId="2" type="noConversion"/>
  </si>
  <si>
    <t>00043416                 報告於結案時一併繳交</t>
    <phoneticPr fontId="2" type="noConversion"/>
  </si>
  <si>
    <t>00046836                  報告於結案時一併繳交</t>
    <phoneticPr fontId="2" type="noConversion"/>
  </si>
  <si>
    <t>00051512                報告於結案時一併繳交</t>
    <phoneticPr fontId="2" type="noConversion"/>
  </si>
  <si>
    <t>00052129                   報告於結案時一併繳交</t>
    <phoneticPr fontId="2" type="noConversion"/>
  </si>
  <si>
    <t>00052238                報告於結案時一併繳交</t>
    <phoneticPr fontId="2" type="noConversion"/>
  </si>
  <si>
    <t>00052526                   報告於結案時一併繳交</t>
    <phoneticPr fontId="2" type="noConversion"/>
  </si>
  <si>
    <t>00047265                報告於結案時一併繳交</t>
    <phoneticPr fontId="2" type="noConversion"/>
  </si>
  <si>
    <t>00046916                報告於結案時一併繳交</t>
    <phoneticPr fontId="2" type="noConversion"/>
  </si>
  <si>
    <t>00047596                 報告於結案時一併繳交</t>
    <phoneticPr fontId="2" type="noConversion"/>
  </si>
  <si>
    <t>00046943                    報告於結案時一併繳交</t>
    <phoneticPr fontId="2" type="noConversion"/>
  </si>
  <si>
    <t>00052168                    報告於結案時一併繳交</t>
    <phoneticPr fontId="2" type="noConversion"/>
  </si>
  <si>
    <t>00047517                  報告於結案時一併繳交</t>
    <phoneticPr fontId="2" type="noConversion"/>
  </si>
  <si>
    <t>00047305                   報告於結案時一併繳交</t>
    <phoneticPr fontId="2" type="noConversion"/>
  </si>
  <si>
    <t>00047131                     報告於結案時一併繳交</t>
    <phoneticPr fontId="2" type="noConversion"/>
  </si>
  <si>
    <t>00048161                  報告於結案時一併繳交</t>
    <phoneticPr fontId="2" type="noConversion"/>
  </si>
  <si>
    <t>00048486                   報告於結案時一併繳交</t>
    <phoneticPr fontId="2" type="noConversion"/>
  </si>
  <si>
    <t>00048314                   報告於結案時一併繳交</t>
    <phoneticPr fontId="2" type="noConversion"/>
  </si>
  <si>
    <t>00048748                  報告於結案時一併繳交</t>
    <phoneticPr fontId="2" type="noConversion"/>
  </si>
  <si>
    <t>00047567               報告於結案時一併繳交</t>
    <phoneticPr fontId="2" type="noConversion"/>
  </si>
  <si>
    <t>00048949                  報告於結案時一併繳交</t>
    <phoneticPr fontId="2" type="noConversion"/>
  </si>
  <si>
    <t>00048835                  報告於結案時一併繳交</t>
    <phoneticPr fontId="2" type="noConversion"/>
  </si>
  <si>
    <t>00047153                   報告於結案時一併繳交</t>
    <phoneticPr fontId="2" type="noConversion"/>
  </si>
  <si>
    <t>00050726               報告於結案時一併繳交</t>
    <phoneticPr fontId="2" type="noConversion"/>
  </si>
  <si>
    <t>00050894                報告於結案時一併繳交</t>
    <phoneticPr fontId="2" type="noConversion"/>
  </si>
  <si>
    <t>00047021                     報告於結案時一併繳交</t>
    <phoneticPr fontId="2" type="noConversion"/>
  </si>
  <si>
    <t>00050845                報告於結案時一併繳交</t>
    <phoneticPr fontId="2" type="noConversion"/>
  </si>
  <si>
    <t>00052140                   報告於結案時一併繳交</t>
    <phoneticPr fontId="2" type="noConversion"/>
  </si>
  <si>
    <t>00046585                    報告於結案時一併繳交</t>
    <phoneticPr fontId="2" type="noConversion"/>
  </si>
  <si>
    <t>00046585                    報告於結案時一併繳交</t>
    <phoneticPr fontId="2" type="noConversion"/>
  </si>
  <si>
    <t>00046585                   報告於結案時一併繳交</t>
    <phoneticPr fontId="2" type="noConversion"/>
  </si>
  <si>
    <t>00048843                報告於結案時一併繳交</t>
    <phoneticPr fontId="2" type="noConversion"/>
  </si>
  <si>
    <t>00048393                   返國後接續參加其他會議及研究,致報告延遲繳交</t>
    <phoneticPr fontId="2" type="noConversion"/>
  </si>
  <si>
    <t>00048237                   該計畫主持人僅補助助理出國費用80,000元 超過部分自理 故生活費只補助29,750元</t>
    <phoneticPr fontId="2" type="noConversion"/>
  </si>
  <si>
    <t>00047856                 返國後接續參加其他會議及研究，致報告延遲繳交</t>
    <phoneticPr fontId="2" type="noConversion"/>
  </si>
  <si>
    <t>00047756                    返國後接續參加其他會議及研究，致報告延遲繳交</t>
    <phoneticPr fontId="2" type="noConversion"/>
  </si>
  <si>
    <t>00052094                由TSPA經費支付</t>
    <phoneticPr fontId="2" type="noConversion"/>
  </si>
  <si>
    <t>00047388                   多年期計畫尚未結案併期末報告一併繳交</t>
    <phoneticPr fontId="2" type="noConversion"/>
  </si>
  <si>
    <t>00046821                 報告於結案時一併繳交</t>
    <phoneticPr fontId="2" type="noConversion"/>
  </si>
  <si>
    <t>00047698                  報告於結案時一併繳交</t>
    <phoneticPr fontId="2" type="noConversion"/>
  </si>
  <si>
    <t>00046977                   報告於結案時一併繳交</t>
    <phoneticPr fontId="2" type="noConversion"/>
  </si>
  <si>
    <t>00047287                    報告於結案時一併繳交</t>
    <phoneticPr fontId="2" type="noConversion"/>
  </si>
  <si>
    <t>00048058                   報告於結案時一併繳交</t>
    <phoneticPr fontId="2" type="noConversion"/>
  </si>
  <si>
    <t>00047954                 報告於結案時一併繳交</t>
    <phoneticPr fontId="2" type="noConversion"/>
  </si>
  <si>
    <t>00047954                    多年期計畫尚未結案併期末報告一併繳交</t>
    <phoneticPr fontId="2" type="noConversion"/>
  </si>
  <si>
    <t>00049169                  報告於結案時一併繳交</t>
    <phoneticPr fontId="2" type="noConversion"/>
  </si>
  <si>
    <t>00049779                  報告於結案時一併繳交</t>
    <phoneticPr fontId="2" type="noConversion"/>
  </si>
  <si>
    <t>00049629                  報告於結案時一併繳交</t>
    <phoneticPr fontId="2" type="noConversion"/>
  </si>
  <si>
    <t>00049389                   報告於結案時一併繳交</t>
    <phoneticPr fontId="2" type="noConversion"/>
  </si>
  <si>
    <t>00049168                   報告於結案時一併繳交</t>
    <phoneticPr fontId="2" type="noConversion"/>
  </si>
  <si>
    <t>00049363                  報告於結案時一併繳交</t>
    <phoneticPr fontId="2" type="noConversion"/>
  </si>
  <si>
    <t>00049373                   報告於結案時一併繳交</t>
    <phoneticPr fontId="2" type="noConversion"/>
  </si>
  <si>
    <t>00047914                    報告於結案時一併繳交</t>
    <phoneticPr fontId="2" type="noConversion"/>
  </si>
  <si>
    <t>00050838                      報告於結案時一併繳交</t>
    <phoneticPr fontId="2" type="noConversion"/>
  </si>
  <si>
    <t>00051429                 報告於結案時一併繳交</t>
    <phoneticPr fontId="2" type="noConversion"/>
  </si>
  <si>
    <t>00052006                 報告於結案時一併繳交</t>
    <phoneticPr fontId="2" type="noConversion"/>
  </si>
  <si>
    <t>00050802                 報告於結案時一併繳交</t>
    <phoneticPr fontId="2" type="noConversion"/>
  </si>
  <si>
    <t>00050616                  報告於結案時一併繳交</t>
    <phoneticPr fontId="2" type="noConversion"/>
  </si>
  <si>
    <t>00050678                報告於結案時一併繳交</t>
    <phoneticPr fontId="2" type="noConversion"/>
  </si>
  <si>
    <t>00050670                   報告於結案時一併繳交</t>
    <phoneticPr fontId="2" type="noConversion"/>
  </si>
  <si>
    <t>00050671                  報告於結案時一併繳交</t>
    <phoneticPr fontId="2" type="noConversion"/>
  </si>
  <si>
    <t>00051261                  報告於結案時一併繳交</t>
    <phoneticPr fontId="2" type="noConversion"/>
  </si>
  <si>
    <t>00050673                  報告於結案時一併繳交</t>
    <phoneticPr fontId="2" type="noConversion"/>
  </si>
  <si>
    <t>00050680                   報告於結案時一併繳交</t>
    <phoneticPr fontId="2" type="noConversion"/>
  </si>
  <si>
    <t>00050679                  報告於結案時一併繳交</t>
    <phoneticPr fontId="2" type="noConversion"/>
  </si>
  <si>
    <t>00051060                    報告於結案時一併繳交</t>
    <phoneticPr fontId="2" type="noConversion"/>
  </si>
  <si>
    <t>00052224                   報告於結案時一併繳交</t>
    <phoneticPr fontId="2" type="noConversion"/>
  </si>
  <si>
    <t>00052012                   報告於結案時一併繳交</t>
    <phoneticPr fontId="2" type="noConversion"/>
  </si>
  <si>
    <t>00050676                 報告於結案時一併繳交</t>
    <phoneticPr fontId="2" type="noConversion"/>
  </si>
  <si>
    <t>00052961               報告於結案時一併繳交</t>
    <phoneticPr fontId="2" type="noConversion"/>
  </si>
  <si>
    <t>00049570                   報告於結案時一併繳交</t>
    <phoneticPr fontId="2" type="noConversion"/>
  </si>
  <si>
    <t xml:space="preserve">00046722                    出國報告連同結案報告一併繳交。           </t>
    <phoneticPr fontId="2" type="noConversion"/>
  </si>
  <si>
    <t>00048505                   出國報告連同結案報告一併繳交。</t>
    <phoneticPr fontId="2" type="noConversion"/>
  </si>
  <si>
    <t>00048745                    出國報告連同結案報告一併繳交。</t>
    <phoneticPr fontId="2" type="noConversion"/>
  </si>
  <si>
    <t>00047488                   出國報告連同結案報告一併繳交。</t>
    <phoneticPr fontId="2" type="noConversion"/>
  </si>
  <si>
    <t>00047488                 出國報告連同結案報告一併繳交。</t>
    <phoneticPr fontId="2" type="noConversion"/>
  </si>
  <si>
    <t>00047108                   出國報告連同結案報告一併繳交。</t>
    <phoneticPr fontId="2" type="noConversion"/>
  </si>
  <si>
    <t>00046424                  出國報告連同結案報告一併繳交。</t>
    <phoneticPr fontId="2" type="noConversion"/>
  </si>
  <si>
    <t>00048784                     出國報告連同結案報告一併繳交。</t>
    <phoneticPr fontId="2" type="noConversion"/>
  </si>
  <si>
    <t>巴爾的摩(Baltimore,Maryland) 紐約市(New York,New York)</t>
    <phoneticPr fontId="2" type="noConversion"/>
  </si>
  <si>
    <t>00050943                 出國報告連同結案報告一併繳交。</t>
    <phoneticPr fontId="2" type="noConversion"/>
  </si>
  <si>
    <t>00051824                  出國報告連同結案報告一併繳交。</t>
    <phoneticPr fontId="2" type="noConversion"/>
  </si>
  <si>
    <t>00052132                   出國報告連同結案報告一併繳交。</t>
    <phoneticPr fontId="2" type="noConversion"/>
  </si>
  <si>
    <t>00050958                  出國報告連同結案報告一併繳交。</t>
    <phoneticPr fontId="2" type="noConversion"/>
  </si>
  <si>
    <t>00050903                 出國報告連同結案報告一併繳交。</t>
    <phoneticPr fontId="2" type="noConversion"/>
  </si>
  <si>
    <t>00052075                  出國報告連同結案報告一併繳交。</t>
    <phoneticPr fontId="2" type="noConversion"/>
  </si>
  <si>
    <t>00051391                  出國報告連同結案報告一併繳交。</t>
    <phoneticPr fontId="2" type="noConversion"/>
  </si>
  <si>
    <t>00051390                    出國報告連同結案報告一併繳交。</t>
    <phoneticPr fontId="2" type="noConversion"/>
  </si>
  <si>
    <t>00041844                   出國報告連同結案報告一併繳交。</t>
    <phoneticPr fontId="2" type="noConversion"/>
  </si>
  <si>
    <t>00051875                     本院農生中心 MOST107-2321-B-001-038- 擔任共同主持人,分攤100,000元 實際補助金額以 回國後核銷為準。 出國報告待計畫到期繳交</t>
    <phoneticPr fontId="2" type="noConversion"/>
  </si>
  <si>
    <t>00047802                       由蛋白質體學會捐贈陳逸然老師Lab研究經費補助</t>
    <phoneticPr fontId="2" type="noConversion"/>
  </si>
  <si>
    <t>00050101                     辦理結案中，已繳交出國報告。</t>
    <phoneticPr fontId="2" type="noConversion"/>
  </si>
  <si>
    <t>00049349                    報告於結案時一併繳交。</t>
    <phoneticPr fontId="2" type="noConversion"/>
  </si>
  <si>
    <t>00046966                    報告於結案時一併繳交</t>
    <phoneticPr fontId="2" type="noConversion"/>
  </si>
  <si>
    <t>00047049                    計畫尚未到期，報告尚未繳交</t>
    <phoneticPr fontId="2" type="noConversion"/>
  </si>
  <si>
    <t>00052559                     會議臨時取消屬不可預期事件。</t>
    <phoneticPr fontId="2" type="noConversion"/>
  </si>
  <si>
    <t>00049682                   多年期計畫尚未結案併期末報告一併繳交。</t>
    <phoneticPr fontId="2" type="noConversion"/>
  </si>
  <si>
    <t>00051981                   報告於結案時一併繳交。</t>
    <phoneticPr fontId="2" type="noConversion"/>
  </si>
  <si>
    <t>00051932                    報告於結案時一併繳交。</t>
    <phoneticPr fontId="2" type="noConversion"/>
  </si>
  <si>
    <t>00051976                    報告於結案時一併繳交。</t>
    <phoneticPr fontId="2" type="noConversion"/>
  </si>
  <si>
    <t>00051931                    報告於結案時一併繳交。</t>
    <phoneticPr fontId="2" type="noConversion"/>
  </si>
  <si>
    <t>00051605                     報告於結案時一併繳交。</t>
    <phoneticPr fontId="2" type="noConversion"/>
  </si>
  <si>
    <t>00051365                      計畫未結案併期末報告一併繳交</t>
    <phoneticPr fontId="2" type="noConversion"/>
  </si>
  <si>
    <t>00050900                    多年期計畫尚未結案併期末報告一併繳交</t>
    <phoneticPr fontId="2" type="noConversion"/>
  </si>
  <si>
    <t>赴Dumaguete City（菲律賓）出席Inter-Asia Cultural ​Studies Society Conference 2019，並於會中發表論文。</t>
    <phoneticPr fontId="2" type="noConversion"/>
  </si>
  <si>
    <t>赴日本京都出席The 2nd Conference of the Asian Association for Women Philosophers (AAWP)，並於會中發表論文。</t>
    <phoneticPr fontId="2" type="noConversion"/>
  </si>
  <si>
    <t>出國參加Diverse Stories of Coming of Age among East Asians and Asian Americans研討會，發表學術研究論文</t>
    <phoneticPr fontId="2" type="noConversion"/>
  </si>
  <si>
    <t>00051042                    計畫未結案併期末報告一併繳交</t>
    <phoneticPr fontId="2" type="noConversion"/>
  </si>
  <si>
    <t>00053368                    計畫未結案併期末報告一併繳交</t>
    <phoneticPr fontId="2" type="noConversion"/>
  </si>
  <si>
    <t>00052642                   科技部計畫申請書提及郭瓊雯為共同主持人。</t>
    <phoneticPr fontId="2" type="noConversion"/>
  </si>
  <si>
    <t>00046949                      計畫未結案併期末報告一併繳交</t>
    <phoneticPr fontId="2" type="noConversion"/>
  </si>
  <si>
    <t>00047858                      計畫未結案併期末報告一併繳交</t>
    <phoneticPr fontId="2" type="noConversion"/>
  </si>
  <si>
    <t>00048191                 多年期計畫尚未結案併期末報告一併繳交</t>
    <phoneticPr fontId="2" type="noConversion"/>
  </si>
  <si>
    <t>00047762                      補助單位為民間企業未要求繳交,故無須提出報告</t>
    <phoneticPr fontId="2" type="noConversion"/>
  </si>
  <si>
    <t>00046076                   出國報告連同結案報告一併繳交</t>
    <phoneticPr fontId="2" type="noConversion"/>
  </si>
  <si>
    <t>00046391                    補助單位未要求繳交,故無須提出報告</t>
    <phoneticPr fontId="2" type="noConversion"/>
  </si>
  <si>
    <t>00048160                    於計畫結案時一併繳交</t>
    <phoneticPr fontId="2" type="noConversion"/>
  </si>
  <si>
    <t>00049925                   於計畫結案時一併繳交</t>
    <phoneticPr fontId="2" type="noConversion"/>
  </si>
  <si>
    <t>00048189                  補助單位未要求繳交,故無須提出報告</t>
    <phoneticPr fontId="2" type="noConversion"/>
  </si>
  <si>
    <t>00049465                    補助單位為民間企業未要求繳交,故無須提出報告</t>
    <phoneticPr fontId="2" type="noConversion"/>
  </si>
  <si>
    <t>00047619                       補助單位為民間企業未要求繳交,故無須提出報告</t>
    <phoneticPr fontId="2" type="noConversion"/>
  </si>
  <si>
    <t>00047646                     於計畫結案時一併繳交</t>
    <phoneticPr fontId="2" type="noConversion"/>
  </si>
  <si>
    <t>00046922                    於計畫結案時一併繳交</t>
    <phoneticPr fontId="2" type="noConversion"/>
  </si>
  <si>
    <t>00047017                    計畫尚未到期，報告尚未繳交</t>
    <phoneticPr fontId="2" type="noConversion"/>
  </si>
  <si>
    <t>00048534                  補助單位未要求繳交,故無須提出報告</t>
    <phoneticPr fontId="2" type="noConversion"/>
  </si>
  <si>
    <t>00049479                   補助單位未要求繳交,故無須提出報告</t>
    <phoneticPr fontId="2" type="noConversion"/>
  </si>
  <si>
    <t>00048250                於計畫結案時一併繳交</t>
    <phoneticPr fontId="2" type="noConversion"/>
  </si>
  <si>
    <t>00048951                 於計畫結案時一併繳交</t>
    <phoneticPr fontId="2" type="noConversion"/>
  </si>
  <si>
    <t>00051455                      計畫尚未到期，報告尚未繳交</t>
    <phoneticPr fontId="2" type="noConversion"/>
  </si>
  <si>
    <t>聖塔芭芭拉 拉斯維加斯 亞特蘭大(Atlanta,Georgia)</t>
    <phoneticPr fontId="2" type="noConversion"/>
  </si>
  <si>
    <t>00050532                    補助單位未要求繳交,故無須提出報告</t>
    <phoneticPr fontId="2" type="noConversion"/>
  </si>
  <si>
    <t>00050755                 補助單位未要求繳交,故無須提出報告</t>
    <phoneticPr fontId="2" type="noConversion"/>
  </si>
  <si>
    <t>00050799                  於計畫結案時一併繳交</t>
    <phoneticPr fontId="2" type="noConversion"/>
  </si>
  <si>
    <t>00052613                  為配合年度結束作業提早繳交報告</t>
    <phoneticPr fontId="2" type="noConversion"/>
  </si>
  <si>
    <t>00047092                  報告於結案時一併繳交</t>
    <phoneticPr fontId="2" type="noConversion"/>
  </si>
  <si>
    <t>00048150                   報告於結案時一併繳交</t>
    <phoneticPr fontId="2" type="noConversion"/>
  </si>
  <si>
    <t>00051900                報告於結案時一併繳交</t>
    <phoneticPr fontId="2" type="noConversion"/>
  </si>
  <si>
    <t>00052016                 報告於結案時一併繳交</t>
    <phoneticPr fontId="2" type="noConversion"/>
  </si>
  <si>
    <t>00044899                     報告於結案時一併繳交</t>
    <phoneticPr fontId="2" type="noConversion"/>
  </si>
  <si>
    <t>00051282                   報告於結案時一併繳交</t>
    <phoneticPr fontId="2" type="noConversion"/>
  </si>
  <si>
    <t>00051096                    報告於結案時一併繳交</t>
    <phoneticPr fontId="2" type="noConversion"/>
  </si>
  <si>
    <t>00051281                  報告於結案時一併繳交</t>
    <phoneticPr fontId="2" type="noConversion"/>
  </si>
  <si>
    <t>00047789                   報告於結案時一併繳交</t>
    <phoneticPr fontId="2" type="noConversion"/>
  </si>
  <si>
    <t>00051122                  報告於結案時一併繳交</t>
    <phoneticPr fontId="2" type="noConversion"/>
  </si>
  <si>
    <t>00048393                   返國後接續參加其他會議及研究,致報告延遲繳交</t>
    <phoneticPr fontId="2" type="noConversion"/>
  </si>
  <si>
    <t>00047866                      報告於結案時一併繳交</t>
    <phoneticPr fontId="5" type="noConversion"/>
  </si>
  <si>
    <t>00046525                   報告於結案時一併繳交</t>
    <phoneticPr fontId="5" type="noConversion"/>
  </si>
  <si>
    <t>00046834                    報告於結案時一併繳交</t>
    <phoneticPr fontId="2" type="noConversion"/>
  </si>
  <si>
    <t>00053165                   報告於結案時一併繳交</t>
    <phoneticPr fontId="2" type="noConversion"/>
  </si>
  <si>
    <t>00052296                   報告於結案時一併繳交</t>
    <phoneticPr fontId="2" type="noConversion"/>
  </si>
  <si>
    <t>00052517                    報告於結案時一併繳交</t>
    <phoneticPr fontId="2" type="noConversion"/>
  </si>
  <si>
    <t>00049523               報告於結案時一併繳交</t>
    <phoneticPr fontId="2" type="noConversion"/>
  </si>
  <si>
    <t>00047068                  報告於結案時一併繳交</t>
    <phoneticPr fontId="2" type="noConversion"/>
  </si>
  <si>
    <t>00047071                   報告於結案時一併繳交</t>
    <phoneticPr fontId="2" type="noConversion"/>
  </si>
  <si>
    <t>00047032                    報告於結案時一併繳交</t>
    <phoneticPr fontId="2" type="noConversion"/>
  </si>
  <si>
    <t>00046833                報告於結案時一併繳交</t>
    <phoneticPr fontId="2" type="noConversion"/>
  </si>
  <si>
    <t>00046708                  報告於結案時一併繳交</t>
    <phoneticPr fontId="2" type="noConversion"/>
  </si>
  <si>
    <t>00047115               報告於結案時一併繳交</t>
    <phoneticPr fontId="2" type="noConversion"/>
  </si>
  <si>
    <t>00047382                 報告於結案時一併繳交</t>
    <phoneticPr fontId="2" type="noConversion"/>
  </si>
  <si>
    <t>00047256                 報告於結案時一併繳交</t>
    <phoneticPr fontId="2" type="noConversion"/>
  </si>
  <si>
    <t>00046887                   報告於結案時一併繳交</t>
    <phoneticPr fontId="2" type="noConversion"/>
  </si>
  <si>
    <t>00047252                  報告於結案時一併繳交</t>
    <phoneticPr fontId="2" type="noConversion"/>
  </si>
  <si>
    <t>00047404                   報告於結案時一併繳交</t>
    <phoneticPr fontId="2" type="noConversion"/>
  </si>
  <si>
    <t>00052276                    報告於結案時一併繳交</t>
    <phoneticPr fontId="2" type="noConversion"/>
  </si>
  <si>
    <t>00046470                 報告於結案時一併繳交</t>
    <phoneticPr fontId="2" type="noConversion"/>
  </si>
  <si>
    <t>00052257                報告於結案時一併繳交</t>
    <phoneticPr fontId="2" type="noConversion"/>
  </si>
  <si>
    <t>00047901                  報告於結案時一併繳交</t>
    <phoneticPr fontId="2" type="noConversion"/>
  </si>
  <si>
    <t>00052689                   報告於結案時一併繳交</t>
    <phoneticPr fontId="2" type="noConversion"/>
  </si>
  <si>
    <t>00048707                   報告於結案時一併繳交</t>
    <phoneticPr fontId="2" type="noConversion"/>
  </si>
  <si>
    <t>00047786                 報告於結案時一併繳交</t>
    <phoneticPr fontId="2" type="noConversion"/>
  </si>
  <si>
    <t>00048395                  報告於結案時一併繳交</t>
    <phoneticPr fontId="2" type="noConversion"/>
  </si>
  <si>
    <t>00047963                  報告於結案時一併繳交</t>
    <phoneticPr fontId="2" type="noConversion"/>
  </si>
  <si>
    <t>00047517                報告於結案時一併繳交</t>
    <phoneticPr fontId="2" type="noConversion"/>
  </si>
  <si>
    <t>00047305                   報告於結案時一併繳交</t>
    <phoneticPr fontId="2" type="noConversion"/>
  </si>
  <si>
    <t>00043072                  報告於結案時一併繳交</t>
    <phoneticPr fontId="2" type="noConversion"/>
  </si>
  <si>
    <t>00047888                    報告於結案時一併繳交</t>
    <phoneticPr fontId="2" type="noConversion"/>
  </si>
  <si>
    <t>00047938                  報告於結案時一併繳交</t>
    <phoneticPr fontId="2" type="noConversion"/>
  </si>
  <si>
    <t>00044997                   報告於結案時一併繳交</t>
    <phoneticPr fontId="2" type="noConversion"/>
  </si>
  <si>
    <t>00044991                     報告於結案時一併繳交</t>
    <phoneticPr fontId="5" type="noConversion"/>
  </si>
  <si>
    <t>00052168                 報告於結案時一併繳交</t>
    <phoneticPr fontId="2" type="noConversion"/>
  </si>
  <si>
    <t>00052070                  報告於結案時一併繳交</t>
    <phoneticPr fontId="2" type="noConversion"/>
  </si>
  <si>
    <t>00052071                  報告於結案時一併繳交</t>
    <phoneticPr fontId="2" type="noConversion"/>
  </si>
  <si>
    <t>00052023                報告於結案時一併繳交</t>
    <phoneticPr fontId="2" type="noConversion"/>
  </si>
  <si>
    <t>00046880                報告於結案時一併繳交</t>
    <phoneticPr fontId="2" type="noConversion"/>
  </si>
  <si>
    <t>00052853                 報告於結案時一併繳交</t>
    <phoneticPr fontId="2" type="noConversion"/>
  </si>
  <si>
    <t>00049577              報告於結案時一併繳交</t>
    <phoneticPr fontId="2" type="noConversion"/>
  </si>
  <si>
    <t>00051731                  報告於結案時一併繳交</t>
    <phoneticPr fontId="2" type="noConversion"/>
  </si>
  <si>
    <t>00047891                   出國報告連同結案報告一併繳交。</t>
    <phoneticPr fontId="2" type="noConversion"/>
  </si>
  <si>
    <t>00052188                出國報告連同結案報告一併繳交。</t>
    <phoneticPr fontId="2" type="noConversion"/>
  </si>
  <si>
    <t>We initiate a novel research project for lipid metabolism and glycosylation in cancer immunology. To accelerate the progress, we have the cooperation with Dr. Ping-Chih Ho.</t>
    <phoneticPr fontId="2" type="noConversion"/>
  </si>
  <si>
    <t>00048718               多年期計畫尚未到期，依科技部規定，繳交報告未逾期。</t>
    <phoneticPr fontId="2" type="noConversion"/>
  </si>
  <si>
    <t>00050056                報告於結案時一併繳交。</t>
    <phoneticPr fontId="2" type="noConversion"/>
  </si>
  <si>
    <t>00048621                    於計畫結案時一併繳交</t>
    <phoneticPr fontId="2" type="noConversion"/>
  </si>
  <si>
    <t>00050208                  於計畫結案時一併繳交</t>
    <phoneticPr fontId="2" type="noConversion"/>
  </si>
  <si>
    <t>00049187                 出國報告連同結案報告一併繳交</t>
    <phoneticPr fontId="2" type="noConversion"/>
  </si>
  <si>
    <t>00043803                 出國報告連同結案報告一併繳交</t>
    <phoneticPr fontId="2" type="noConversion"/>
  </si>
  <si>
    <t>00051353                    計畫尚未到期，報告尚未繳交</t>
    <phoneticPr fontId="2" type="noConversion"/>
  </si>
  <si>
    <t>00050981                  於計畫結案時一併繳交</t>
    <phoneticPr fontId="2" type="noConversion"/>
  </si>
  <si>
    <t>00050814                    於計畫結案時一併繳交</t>
    <phoneticPr fontId="2" type="noConversion"/>
  </si>
  <si>
    <t>00050656                  於計畫結案時一併繳交</t>
    <phoneticPr fontId="2" type="noConversion"/>
  </si>
  <si>
    <t>00050960                  於計畫結案時一併繳交</t>
    <phoneticPr fontId="2" type="noConversion"/>
  </si>
  <si>
    <t>00050661                   於計畫結案時一併繳交</t>
    <phoneticPr fontId="2" type="noConversion"/>
  </si>
  <si>
    <t>00051910                    計畫尚未到期，報告尚未繳交</t>
    <phoneticPr fontId="2" type="noConversion"/>
  </si>
  <si>
    <t>00052009                      計畫尚未到期，報告尚未繳交</t>
    <phoneticPr fontId="2" type="noConversion"/>
  </si>
  <si>
    <t>00051923                   計畫尚未到期，報告尚未繳交</t>
    <phoneticPr fontId="2" type="noConversion"/>
  </si>
  <si>
    <t>00051929                       計畫尚未到期，報告尚未繳交</t>
    <phoneticPr fontId="2" type="noConversion"/>
  </si>
  <si>
    <t>00049517                    於計畫結案時一併繳交</t>
    <phoneticPr fontId="2" type="noConversion"/>
  </si>
  <si>
    <t>研究員胡宇光先生擬於108年10月16日起至108年10月20日止應邀前往中國上海Shanghai Institute of Applied Physics(SINAP)與上海同步光源Shanghai Synchrotron Radiation Facility(SSRF)進行學術及技術交流</t>
    <phoneticPr fontId="3" type="noConversion"/>
  </si>
  <si>
    <t>中研院南部院區鋰電池儲能系統開發與新世代全固態電池材料研發計畫</t>
    <phoneticPr fontId="3" type="noConversion"/>
  </si>
  <si>
    <t>台北都會防災科學任務-確認大屯火山地下岩漿庫的位置與形貌(2/4)</t>
    <phoneticPr fontId="2" type="noConversion"/>
  </si>
  <si>
    <t>台北都會防災科學任務-確認大屯火山地下岩漿庫的位置與形貌(2/4)</t>
    <phoneticPr fontId="2" type="noConversion"/>
  </si>
  <si>
    <t>國內旅費</t>
    <phoneticPr fontId="2" type="noConversion"/>
  </si>
  <si>
    <t>107/12/17-107/12/27</t>
    <phoneticPr fontId="2" type="noConversion"/>
  </si>
  <si>
    <t>108/01/09-108/01/16</t>
    <phoneticPr fontId="2" type="noConversion"/>
  </si>
  <si>
    <t>台灣</t>
    <phoneticPr fontId="2" type="noConversion"/>
  </si>
  <si>
    <t>台灣</t>
    <phoneticPr fontId="2" type="noConversion"/>
  </si>
  <si>
    <t>金山貢寮宜蘭</t>
    <phoneticPr fontId="2" type="noConversion"/>
  </si>
  <si>
    <t>金山宜蘭</t>
    <phoneticPr fontId="2" type="noConversion"/>
  </si>
  <si>
    <t>陳虹伶「國內差旅費」</t>
    <phoneticPr fontId="2" type="noConversion"/>
  </si>
  <si>
    <t>林瑞仁「國內差旅費」</t>
    <phoneticPr fontId="2" type="noConversion"/>
  </si>
  <si>
    <t>108年誤列科目為「國外旅費」，於109年2月轉正。</t>
    <phoneticPr fontId="2" type="noConversion"/>
  </si>
  <si>
    <t>108年誤列科目為「國外旅費」，於109年2月轉正。</t>
    <phoneticPr fontId="2" type="noConversion"/>
  </si>
  <si>
    <t>史丹佛(Stanford,California) Stanford</t>
    <phoneticPr fontId="2" type="noConversion"/>
  </si>
  <si>
    <t>多樣導向合成細胞表面葡胺聚醣以定義醣與不同蛋白之結構和活性的關係(3/5)(107017)</t>
    <phoneticPr fontId="2" type="noConversion"/>
  </si>
  <si>
    <t>醣胜肽抗生素安巴素生物合成探討暨新抗生素開發(108017)</t>
    <phoneticPr fontId="2" type="noConversion"/>
  </si>
  <si>
    <t>台灣</t>
    <phoneticPr fontId="2" type="noConversion"/>
  </si>
  <si>
    <t>成大</t>
    <phoneticPr fontId="2" type="noConversion"/>
  </si>
  <si>
    <t>新竹同步輻射中心</t>
    <phoneticPr fontId="2" type="noConversion"/>
  </si>
  <si>
    <t>107年度誤列國外旅費，108.7.12轉正</t>
    <phoneticPr fontId="2" type="noConversion"/>
  </si>
  <si>
    <t>108年誤列國外旅費，109.1.21轉正</t>
    <phoneticPr fontId="2" type="noConversion"/>
  </si>
  <si>
    <t>國內差旅費</t>
    <phoneticPr fontId="2" type="noConversion"/>
  </si>
  <si>
    <t>國內差旅費</t>
    <phoneticPr fontId="2" type="noConversion"/>
  </si>
  <si>
    <t>107/11/18-107/11/21</t>
    <phoneticPr fontId="2" type="noConversion"/>
  </si>
  <si>
    <t>108/11/21</t>
    <phoneticPr fontId="2" type="noConversion"/>
  </si>
  <si>
    <t>00050193                     返國後接續參加其他會議及研究,致報告延遲繳交</t>
    <phoneticPr fontId="2" type="noConversion"/>
  </si>
  <si>
    <t>00053165                  報告於結案時一併繳交</t>
    <phoneticPr fontId="2" type="noConversion"/>
  </si>
  <si>
    <t>00051405                     補助單位未要求繳交,故無須提出報告</t>
    <phoneticPr fontId="2" type="noConversion"/>
  </si>
  <si>
    <t>00048372                     報告於結案時一併繳交</t>
    <phoneticPr fontId="2" type="noConversion"/>
  </si>
  <si>
    <t>00049515                    報告於結案時一併繳交</t>
    <phoneticPr fontId="2" type="noConversion"/>
  </si>
  <si>
    <t>00047394                    報告於結案時一併繳交</t>
    <phoneticPr fontId="2" type="noConversion"/>
  </si>
  <si>
    <t>00049327                   報告於結案時一併繳交</t>
    <phoneticPr fontId="2" type="noConversion"/>
  </si>
  <si>
    <t>00052886                    報告於結案時一併繳交</t>
    <phoneticPr fontId="2" type="noConversion"/>
  </si>
  <si>
    <t>00052527                             報告於結案時一併繳交</t>
    <phoneticPr fontId="5" type="noConversion"/>
  </si>
  <si>
    <t>00046860                 報告於結案時一併繳交</t>
    <phoneticPr fontId="2" type="noConversion"/>
  </si>
  <si>
    <t>00046563                      補助單位未要求繳交,故無須提出報告</t>
    <phoneticPr fontId="2" type="noConversion"/>
  </si>
  <si>
    <t>00053038                   報告併於期中報告繳交</t>
    <phoneticPr fontId="2" type="noConversion"/>
  </si>
  <si>
    <t>52203                            因公系統在人社，社會所列108年度科技部計畫應付帳款（已列入當年度科研基金總帳）。</t>
    <phoneticPr fontId="2" type="noConversion"/>
  </si>
  <si>
    <t>00039060                       106.12.13#616487因計畫尾款未匯入，以暫付款支付；107.01.05轉帳＃617012轉帳誤植「國外旅費」，於108年轉正。</t>
    <phoneticPr fontId="2" type="noConversion"/>
  </si>
  <si>
    <t>00051346                   計畫尚未到期，報告尚未繳交</t>
    <phoneticPr fontId="2" type="noConversion"/>
  </si>
  <si>
    <t>00051352                  計畫尚未到期，報告尚未繳交</t>
    <phoneticPr fontId="2" type="noConversion"/>
  </si>
  <si>
    <t>00049525                   於計畫結案時一併繳交</t>
    <phoneticPr fontId="2" type="noConversion"/>
  </si>
  <si>
    <t>00050655                於計畫結案時一併繳交</t>
    <phoneticPr fontId="2" type="noConversion"/>
  </si>
  <si>
    <t>00050962                  於計畫結案時一併繳交</t>
    <phoneticPr fontId="2" type="noConversion"/>
  </si>
  <si>
    <t>訪問</t>
    <phoneticPr fontId="3" type="noConversion"/>
  </si>
  <si>
    <t>00047018                 於計畫結案時一併繳交</t>
    <phoneticPr fontId="2" type="noConversion"/>
  </si>
  <si>
    <t>00049749                    於計畫結案時一併繳交</t>
    <phoneticPr fontId="2" type="noConversion"/>
  </si>
  <si>
    <t>00046761                   於計畫結案時一併繳交</t>
    <phoneticPr fontId="2" type="noConversion"/>
  </si>
  <si>
    <t>00046763                   於計畫結案時一併繳交</t>
    <phoneticPr fontId="2" type="noConversion"/>
  </si>
  <si>
    <t>00046765                     於計畫結案時一併繳交</t>
    <phoneticPr fontId="2" type="noConversion"/>
  </si>
  <si>
    <t>00046764                     於計畫結案時一併繳交</t>
    <phoneticPr fontId="2" type="noConversion"/>
  </si>
  <si>
    <t>00048339                   於計畫結案時一併繳交</t>
    <phoneticPr fontId="2" type="noConversion"/>
  </si>
  <si>
    <t>00048086                   於計畫結案時一併繳交</t>
    <phoneticPr fontId="2" type="noConversion"/>
  </si>
  <si>
    <t>00046727                      於計畫結案時一併繳交</t>
    <phoneticPr fontId="2" type="noConversion"/>
  </si>
  <si>
    <t>00047099                   於計畫結案時一併繳交</t>
    <phoneticPr fontId="2" type="noConversion"/>
  </si>
  <si>
    <t>00052203                    由社會所列108年度科技部計畫應付帳款。</t>
    <phoneticPr fontId="2" type="noConversion"/>
  </si>
  <si>
    <t>00052203                   由社會所列108年度科技部計畫應付帳款。</t>
    <phoneticPr fontId="2" type="noConversion"/>
  </si>
  <si>
    <t>00047771                   補助單位為民間企業未要求繳交,故無須提出報告</t>
    <phoneticPr fontId="2" type="noConversion"/>
  </si>
  <si>
    <t>00047988                  因上準微流體院外合作計畫經費系統已設定完成，由自費更新為計畫經費補助 補助單位為民間企業未要求繳交,故無須提出報告</t>
    <phoneticPr fontId="2" type="noConversion"/>
  </si>
  <si>
    <t>00048377                  出國報告連同結案報告一併繳交</t>
    <phoneticPr fontId="2" type="noConversion"/>
  </si>
  <si>
    <t>00047817                    於計畫結案時一併繳交</t>
    <phoneticPr fontId="2" type="noConversion"/>
  </si>
  <si>
    <t>00047086                  出國報告連同結案報告一併繳交</t>
    <phoneticPr fontId="2" type="noConversion"/>
  </si>
  <si>
    <t>00046842                 契約結束後繳交成果報告</t>
    <phoneticPr fontId="2" type="noConversion"/>
  </si>
  <si>
    <t>00052327                   配合年底經費核銷,於會期結束馬上繳交報告.</t>
    <phoneticPr fontId="2" type="noConversion"/>
  </si>
  <si>
    <t>00048810                  機票款與註冊費</t>
    <phoneticPr fontId="2" type="noConversion"/>
  </si>
  <si>
    <t>00049888                 機票款與註冊費</t>
    <phoneticPr fontId="2" type="noConversion"/>
  </si>
  <si>
    <t>00048196                     執行深度減碳計畫之區域氣候與大氣環境監測研究計畫之需，跟美國Aerodyne Research公司購買Aerosol Mass Spectrometer儀器，這套儀器可以即時監測環境大氣中，氣溶膠的質量電荷與粒徑分布。可以對氣溶膠之硫酸鹽SO4(2-)、硝酸鹽NO3-、銨NH4+和有機物等做定量與分析。 此行赴美國Aerodyne Research公司，學習Aerosol Mass Spectrometer儀器的操作 使用和校正維護。</t>
    <phoneticPr fontId="2" type="noConversion"/>
  </si>
  <si>
    <t>00047147                   由科技部計畫MOST-106-2611-M-001-010-MY3國外差旅費補助台北-舊金山來回機票及赴加州大學戴維斯分校(University of California, Davis)進行移地研究期間之生活費</t>
    <phoneticPr fontId="2" type="noConversion"/>
  </si>
  <si>
    <t>00049299                計畫未結案併期末報告一併繳交</t>
    <phoneticPr fontId="2" type="noConversion"/>
  </si>
  <si>
    <t>00046923                  原專題計畫移地研究經費編列於第二年執行，因林研究員個人因素變更至第三年執行，已獲變更申請核准在案。</t>
    <phoneticPr fontId="2" type="noConversion"/>
  </si>
  <si>
    <t>00048331                   計畫未結案併期末報告一併繳交</t>
    <phoneticPr fontId="2" type="noConversion"/>
  </si>
  <si>
    <t>00049598                計畫未結案併期末報告一併繳交</t>
    <phoneticPr fontId="2" type="noConversion"/>
  </si>
  <si>
    <t>00051930                  多年期計畫尚未結案併期末報告一併繳交。</t>
    <phoneticPr fontId="2" type="noConversion"/>
  </si>
  <si>
    <t>00051610                 多年期計畫尚未結案併期末報告一併繳交</t>
    <phoneticPr fontId="2" type="noConversion"/>
  </si>
  <si>
    <t>00051206                  多年期計畫尚未結案併期末報告一併繳交</t>
    <phoneticPr fontId="2" type="noConversion"/>
  </si>
  <si>
    <t>00046953                   報告於結案時一併繳交</t>
    <phoneticPr fontId="2" type="noConversion"/>
  </si>
  <si>
    <t>00048599                    多年期計畫尚未結案併期末報告一併繳交</t>
    <phoneticPr fontId="2" type="noConversion"/>
  </si>
  <si>
    <t>00048607                   多年期計畫尚未結案併期末報告一併繳交</t>
    <phoneticPr fontId="2" type="noConversion"/>
  </si>
  <si>
    <t>00047065                   多年期計畫尚未結案併期末報告一併繳交。</t>
    <phoneticPr fontId="2" type="noConversion"/>
  </si>
  <si>
    <t>00051141                  於計畫結案時一併繳交</t>
    <phoneticPr fontId="2" type="noConversion"/>
  </si>
  <si>
    <t>00048766                   科技部分攤機票款生活費共12.2萬元</t>
    <phoneticPr fontId="2" type="noConversion"/>
  </si>
  <si>
    <t>00048143                  於計畫結案時一併繳交</t>
    <phoneticPr fontId="2" type="noConversion"/>
  </si>
  <si>
    <t>00046670                  國外旅費流用至國外教育訓練費</t>
    <phoneticPr fontId="2" type="noConversion"/>
  </si>
  <si>
    <t>00048995                 報告日期早於銷差日，屬跨年度計畫，僅申請去程機票。</t>
    <phoneticPr fontId="2" type="noConversion"/>
  </si>
  <si>
    <t>00049123                   依「本院獎助院內年輕學者出席國際學術會議試行作業要點」奉院方108.6.17國際事務字第1080505259號函同意分攤機票款及註冊費(工作計畫:53-53培育科技菁英計畫)</t>
    <phoneticPr fontId="2" type="noConversion"/>
  </si>
  <si>
    <t xml:space="preserve">00049407                    依「本院獎助院內年輕學者出席國際學術會議試行作業要點」向院方申請機票款及註冊費        </t>
    <phoneticPr fontId="2" type="noConversion"/>
  </si>
  <si>
    <t>00048578                  經費來源：TPPAS-B1</t>
    <phoneticPr fontId="2" type="noConversion"/>
  </si>
  <si>
    <t>00048773                經費來源：TPP統籌款(10410)</t>
    <phoneticPr fontId="2" type="noConversion"/>
  </si>
  <si>
    <t>00050927                生活費補助上限1242美金(核銷時依出國前一日台銀即期賣出匯率計算),申請以美金匯率32預估</t>
    <phoneticPr fontId="2" type="noConversion"/>
  </si>
  <si>
    <t>00050968                  生活費補助上限2000美金(核銷時依出國前一日台銀即期賣出匯率計算),申請以美金匯率32預估</t>
    <phoneticPr fontId="2" type="noConversion"/>
  </si>
  <si>
    <t>00050959                  生活費補助上限1242美金(核銷時依出國前一日台銀即期賣出匯率計算),申請以美金匯率32預估</t>
    <phoneticPr fontId="2" type="noConversion"/>
  </si>
  <si>
    <t>00050866                   生活費補助上限1242美金(核銷時依出國前一日台銀即期賣出匯率計算),申請以美金匯率32預估</t>
    <phoneticPr fontId="2" type="noConversion"/>
  </si>
  <si>
    <t>00049966                   生活費補助上限1242美金(核銷時依出國前一日台銀即期賣出匯率計算),申請以美金匯率32預估</t>
    <phoneticPr fontId="2" type="noConversion"/>
  </si>
  <si>
    <t>00050975                 生活費補助上限1242美金(核銷時依出國前一日台銀即期賣出匯率計算),申請以美金匯率32預估</t>
    <phoneticPr fontId="2" type="noConversion"/>
  </si>
  <si>
    <t>00048770                  經費來源：TPP統籌款(10410)</t>
    <phoneticPr fontId="2" type="noConversion"/>
  </si>
  <si>
    <t>00046961                   出國報告連同結案報告一併繳交</t>
    <phoneticPr fontId="2" type="noConversion"/>
  </si>
  <si>
    <t>00046962                出國報告連同結案報告一併繳交</t>
    <phoneticPr fontId="2" type="noConversion"/>
  </si>
  <si>
    <t>00047130                 報告於結案時一併繳交</t>
    <phoneticPr fontId="2" type="noConversion"/>
  </si>
  <si>
    <t>00046604                 報告於結案時一併繳交</t>
    <phoneticPr fontId="2" type="noConversion"/>
  </si>
  <si>
    <t>00047987                     108年度應付帳款為186,823元(多預估100元)，實際支出為186,723元(108年度尚未核銷)。</t>
    <phoneticPr fontId="5" type="noConversion"/>
  </si>
  <si>
    <t>00052663                使用666636結餘款再運用-李時雨經費(訪問)</t>
    <phoneticPr fontId="2" type="noConversion"/>
  </si>
  <si>
    <t>00047317               身為國際社會學會執行委員，參加例行年度會議。</t>
    <phoneticPr fontId="2" type="noConversion"/>
  </si>
  <si>
    <t>00047993                   Holderness=&gt;波士頓接駁車資 USD45</t>
    <phoneticPr fontId="2" type="noConversion"/>
  </si>
  <si>
    <t>00051023                報告於結案時一併繳交</t>
    <phoneticPr fontId="2" type="noConversion"/>
  </si>
  <si>
    <t>00052591                   計畫尚未到期，報告尚未繳交</t>
    <phoneticPr fontId="2" type="noConversion"/>
  </si>
  <si>
    <t>00052252                  計畫尚未到期，報告尚未繳交</t>
    <phoneticPr fontId="2" type="noConversion"/>
  </si>
  <si>
    <t>00052414                計畫尚未到期，報告尚未繳交</t>
    <phoneticPr fontId="2" type="noConversion"/>
  </si>
  <si>
    <t>00052187                計畫尚未到期，報告尚未繳交</t>
    <phoneticPr fontId="2" type="noConversion"/>
  </si>
  <si>
    <t>00052173                    計畫尚未到期，報告尚未繳交</t>
    <phoneticPr fontId="2" type="noConversion"/>
  </si>
  <si>
    <t>00049503                  於計畫結案時一併繳交</t>
    <phoneticPr fontId="2" type="noConversion"/>
  </si>
  <si>
    <t>00047768                   補助單位為民間企業未要求繳交,故無須提出報告</t>
    <phoneticPr fontId="2" type="noConversion"/>
  </si>
  <si>
    <t>00047879                     補助單位為民間企業未要求繳交,故無須提出報告</t>
    <phoneticPr fontId="2" type="noConversion"/>
  </si>
  <si>
    <t>00039633                 報告於結案時一併繳交</t>
    <phoneticPr fontId="2" type="noConversion"/>
  </si>
  <si>
    <t>00049054                  報告於結案時一併繳交</t>
    <phoneticPr fontId="2" type="noConversion"/>
  </si>
  <si>
    <t>00052663                  使用666636結餘款再運用-李時雨經費(開會)</t>
    <phoneticPr fontId="2" type="noConversion"/>
  </si>
  <si>
    <t>00050224                 本次會議將藉由口頭報告介紹中央氣象局委外案支持的fv3GFS模式發展成果，以及此模式在氣象/氣候領域的應用。使用杜佳穎666650計畫結餘款再運用經費。</t>
    <phoneticPr fontId="2" type="noConversion"/>
  </si>
  <si>
    <t>00048624                    本年會將會集環境專業人士、企業領導者、研究人員及青年學者，共同研討環境健康、能源等議題，透過學術與思想交流研析能源及環境之新解決方案。使用666606龍世俊老師計畫結餘款再運用經費。</t>
    <phoneticPr fontId="2" type="noConversion"/>
  </si>
  <si>
    <t>00050224                  本次會議將藉由口頭報告介紹中央氣象局委外案支持的fv3GFS模式發展成果，以及此模式在氣象/氣候領域的應用。</t>
    <phoneticPr fontId="2" type="noConversion"/>
  </si>
  <si>
    <t>00048087                    科技部補助國內專家學者出席國際學術會議</t>
    <phoneticPr fontId="2" type="noConversion"/>
  </si>
  <si>
    <t>00051114                   1.生活費、交通費(長途大眾陸運工具)：11,524元，由伊慶春特聘研究員主持之科技部計畫108-2410-H-001-092-【邁入老年初期的年輕成人父母之生命軌跡：文化規範與個人資源的影響】支應。(決算11,100) 2.交通費(機票)、保險費：51,725元，由人社中心蔡明璋研究員主持之科技部計畫108-2911-I-001-518【臺灣-奧地利(MOST-FWF)雙邊研討會】支應。(決算51,725)</t>
    <phoneticPr fontId="2" type="noConversion"/>
  </si>
  <si>
    <t>00049215                   於計畫結案時一併繳交。</t>
    <phoneticPr fontId="2" type="noConversion"/>
  </si>
  <si>
    <t>00050543                  多年期計畫尚未結案併期末報告一併繳交。</t>
    <phoneticPr fontId="2" type="noConversion"/>
  </si>
  <si>
    <t>00050105                   多年期計畫尚未結案併期末報告一併繳交。</t>
    <phoneticPr fontId="2" type="noConversion"/>
  </si>
  <si>
    <t>00049490                  報告於結案時一併繳交</t>
    <phoneticPr fontId="2" type="noConversion"/>
  </si>
  <si>
    <t>00046606                   多年期計畫尚未結案併期末報告一併繳交</t>
    <phoneticPr fontId="2" type="noConversion"/>
  </si>
  <si>
    <t>00049182                  報告於結案時一併繳交</t>
    <phoneticPr fontId="2" type="noConversion"/>
  </si>
  <si>
    <t>00049239                    多年期計畫尚未結案併期末報告一併繳交</t>
    <phoneticPr fontId="2" type="noConversion"/>
  </si>
  <si>
    <t>00047463                 多年期計畫尚未結案併期末報告一併繳交</t>
    <phoneticPr fontId="2" type="noConversion"/>
  </si>
  <si>
    <t xml:space="preserve">00051941                      計畫未結案併期末報告一併繳交          </t>
    <phoneticPr fontId="2" type="noConversion"/>
  </si>
  <si>
    <t>00050707                  多年期計畫尚未結案併期末報告一併繳交。</t>
    <phoneticPr fontId="2" type="noConversion"/>
  </si>
  <si>
    <t>00052068                   多年期計畫尚未結案併期末報告一併繳交</t>
    <phoneticPr fontId="2" type="noConversion"/>
  </si>
  <si>
    <t>00049102                    辦理結案中,併結案報告一併繳交</t>
    <phoneticPr fontId="2" type="noConversion"/>
  </si>
  <si>
    <t xml:space="preserve">00048718                                           多年期計畫尚未到期。           </t>
    <phoneticPr fontId="2" type="noConversion"/>
  </si>
  <si>
    <t>00049306                    出國報告待計畫到期繳交</t>
    <phoneticPr fontId="2" type="noConversion"/>
  </si>
  <si>
    <t>00049505                  出國報告待計畫到期繳交</t>
    <phoneticPr fontId="2" type="noConversion"/>
  </si>
  <si>
    <t>00050151                   出國報告待計畫到期繳交</t>
    <phoneticPr fontId="2" type="noConversion"/>
  </si>
  <si>
    <t>00047109                  出國報告待計畫到期繳交</t>
    <phoneticPr fontId="2" type="noConversion"/>
  </si>
  <si>
    <t>00047980                 出國報告待計畫到期繳交</t>
    <phoneticPr fontId="2" type="noConversion"/>
  </si>
  <si>
    <t>00046508                      原定第二年出席會議為30th International Conference on Arabidopsis Research (ICAR 2019)，因受邀在第27屆植物與動物基因體會議Small RNA Workshop 擔任講者，故擬變更為此會議。預估出國所需費用為113,028元，第二年部分將用第一年旅費剩餘款補足。</t>
    <phoneticPr fontId="2" type="noConversion"/>
  </si>
  <si>
    <t>00047422                出國報告待計畫到期繳交</t>
    <phoneticPr fontId="2" type="noConversion"/>
  </si>
  <si>
    <t>00049415                  出國報告連同結案報告一併繳交。</t>
    <phoneticPr fontId="2" type="noConversion"/>
  </si>
  <si>
    <t>00050887                 出國報告連同結案報告一併繳交。</t>
    <phoneticPr fontId="2" type="noConversion"/>
  </si>
  <si>
    <t>00047769                  出國報告連同結案報告一併繳交。</t>
    <phoneticPr fontId="2" type="noConversion"/>
  </si>
  <si>
    <t>00047891                   出國報告連同結案報告一併繳交。</t>
    <phoneticPr fontId="2" type="noConversion"/>
  </si>
  <si>
    <t>00046925               出國報告連同結案報告一併繳交。</t>
    <phoneticPr fontId="2" type="noConversion"/>
  </si>
  <si>
    <t>00048670                   出國報告連同結案報告一併繳交。</t>
    <phoneticPr fontId="2" type="noConversion"/>
  </si>
  <si>
    <t>00048019                   出國報告連同結案報告一併繳交。</t>
    <phoneticPr fontId="2" type="noConversion"/>
  </si>
  <si>
    <t>00046733                      出國報告連同結案報告一併繳交。</t>
    <phoneticPr fontId="2" type="noConversion"/>
  </si>
  <si>
    <t>00046734                     出國報告連同結案報告一併繳交。</t>
    <phoneticPr fontId="2" type="noConversion"/>
  </si>
  <si>
    <t>00046723                 出國報告連同結案報告一併繳交。</t>
    <phoneticPr fontId="2" type="noConversion"/>
  </si>
  <si>
    <t>00051335                   於計畫結案時一併繳交</t>
    <phoneticPr fontId="2" type="noConversion"/>
  </si>
  <si>
    <t>00052889                於計畫結案時一併繳交</t>
    <phoneticPr fontId="2" type="noConversion"/>
  </si>
  <si>
    <t>00052024                    機票及住宿由邀請機構補助</t>
    <phoneticPr fontId="2" type="noConversion"/>
  </si>
  <si>
    <t>00050370                  補助單位為民間企業未要求繳交,故無須提出報告</t>
    <phoneticPr fontId="2" type="noConversion"/>
  </si>
  <si>
    <t>00053136                     報告於結案時一併繳交</t>
    <phoneticPr fontId="2" type="noConversion"/>
  </si>
  <si>
    <t>00053019                   報告於結案時一併繳交</t>
    <phoneticPr fontId="2" type="noConversion"/>
  </si>
  <si>
    <t>00051453                    報告於結案時一併繳交</t>
    <phoneticPr fontId="2" type="noConversion"/>
  </si>
  <si>
    <t>00049377                    報告於結案時一併繳交</t>
    <phoneticPr fontId="2" type="noConversion"/>
  </si>
  <si>
    <t>00049561                  報告於結案時一併繳交</t>
    <phoneticPr fontId="2" type="noConversion"/>
  </si>
  <si>
    <t>00050494                    出國報告連同結案報告一併繳交</t>
    <phoneticPr fontId="2" type="noConversion"/>
  </si>
  <si>
    <t>00046589                   報告於結案時一併繳交</t>
    <phoneticPr fontId="2" type="noConversion"/>
  </si>
  <si>
    <t>00048297                   報告於結案時一併繳交</t>
    <phoneticPr fontId="2" type="noConversion"/>
  </si>
  <si>
    <t>00047698                   多年期計畫尚未結案併期末報告一併繳交</t>
    <phoneticPr fontId="2" type="noConversion"/>
  </si>
  <si>
    <t>00046899                   報告於結案時一併繳交</t>
    <phoneticPr fontId="2" type="noConversion"/>
  </si>
  <si>
    <t>00046632                實驗結束後，出國報告于澳洲雪梨當地上網繳交。</t>
    <phoneticPr fontId="2" type="noConversion"/>
  </si>
  <si>
    <t>00050246                   經費來源：TPP-A3計畫(50030)</t>
    <phoneticPr fontId="2" type="noConversion"/>
  </si>
  <si>
    <t>00046942                   經費來源：TPP統籌款(1041)</t>
    <phoneticPr fontId="2" type="noConversion"/>
  </si>
  <si>
    <t>00049206                    經費來源：TPPAS-D1 (54110)</t>
    <phoneticPr fontId="2" type="noConversion"/>
  </si>
  <si>
    <t>00052191                  出國報告連同結案報告一併繳交</t>
    <phoneticPr fontId="2" type="noConversion"/>
  </si>
  <si>
    <t>00050602                    出國報告連同結案報告一併繳交</t>
    <phoneticPr fontId="2" type="noConversion"/>
  </si>
  <si>
    <t>00048659                    出國報告連同結案報告一併繳交</t>
    <phoneticPr fontId="2" type="noConversion"/>
  </si>
  <si>
    <t>00052049                   計畫未結案併期末報告一併繳交</t>
    <phoneticPr fontId="2" type="noConversion"/>
  </si>
  <si>
    <t>00048564                  出國報告連同結案報告一併繳交</t>
    <phoneticPr fontId="2" type="noConversion"/>
  </si>
  <si>
    <t>00047200                 出國報告連同結案報告一併繳交</t>
    <phoneticPr fontId="2" type="noConversion"/>
  </si>
  <si>
    <t>00050503                  計畫未結案併期末報告一併繳交</t>
    <phoneticPr fontId="2" type="noConversion"/>
  </si>
  <si>
    <t>00048445                   出國報告連同結案報告一併繳交</t>
    <phoneticPr fontId="2" type="noConversion"/>
  </si>
  <si>
    <t>00048146                 出國報告連同結案報告一併繳交</t>
    <phoneticPr fontId="2" type="noConversion"/>
  </si>
  <si>
    <t>00048447                    出國報告連同結案報告一併繳交</t>
    <phoneticPr fontId="2" type="noConversion"/>
  </si>
  <si>
    <t>00048446                    出國報告連同結案報告一併繳交</t>
    <phoneticPr fontId="2" type="noConversion"/>
  </si>
  <si>
    <t>00048028                    1000美金*31.5預估費率</t>
    <phoneticPr fontId="2" type="noConversion"/>
  </si>
  <si>
    <t>00047682                   補助單位未要求提出報告</t>
    <phoneticPr fontId="2" type="noConversion"/>
  </si>
  <si>
    <t>00050883                   補助單位未要求提出報告</t>
    <phoneticPr fontId="2" type="noConversion"/>
  </si>
  <si>
    <t>00052574                 補助單位未要求提出報告</t>
    <phoneticPr fontId="2" type="noConversion"/>
  </si>
  <si>
    <t>00053054                    報告於結案時一併繳交</t>
    <phoneticPr fontId="2" type="noConversion"/>
  </si>
  <si>
    <t>00053130                  報告於結案時一併繳交</t>
    <phoneticPr fontId="2" type="noConversion"/>
  </si>
  <si>
    <t>00051957                    報告於結案時一併繳交</t>
    <phoneticPr fontId="2" type="noConversion"/>
  </si>
  <si>
    <t>00051413                  報告於結案時一併繳交</t>
    <phoneticPr fontId="2" type="noConversion"/>
  </si>
  <si>
    <t>00048690                 報告於結案時一併繳交</t>
    <phoneticPr fontId="2" type="noConversion"/>
  </si>
  <si>
    <t>00049664                  報告於結案時一併繳交</t>
    <phoneticPr fontId="2" type="noConversion"/>
  </si>
  <si>
    <t>00050508                   報告於結案時一併繳交</t>
    <phoneticPr fontId="2" type="noConversion"/>
  </si>
  <si>
    <t>00048714                  報告於結案時一併繳交</t>
    <phoneticPr fontId="2" type="noConversion"/>
  </si>
  <si>
    <t>00050061                  報告於結案時一併繳交</t>
    <phoneticPr fontId="2" type="noConversion"/>
  </si>
  <si>
    <t>00049823                  報告於結案時一併繳交</t>
    <phoneticPr fontId="2" type="noConversion"/>
  </si>
  <si>
    <t>00049809                 報告於結案時一併繳交</t>
    <phoneticPr fontId="2" type="noConversion"/>
  </si>
  <si>
    <t>00049754                  報告於結案時一併繳交</t>
    <phoneticPr fontId="2" type="noConversion"/>
  </si>
  <si>
    <t>00049164                    報告於結案時一併繳交</t>
    <phoneticPr fontId="2" type="noConversion"/>
  </si>
  <si>
    <t>00049164                   報告於結案時一併繳交</t>
    <phoneticPr fontId="2" type="noConversion"/>
  </si>
  <si>
    <t>00048073                  報告於結案時一併繳交</t>
    <phoneticPr fontId="2" type="noConversion"/>
  </si>
  <si>
    <t>00046516                      報告於結案時一併繳交</t>
    <phoneticPr fontId="2" type="noConversion"/>
  </si>
  <si>
    <t>00047460                   報告於結案時一併繳交</t>
    <phoneticPr fontId="2" type="noConversion"/>
  </si>
  <si>
    <t>00047498                    報告於結案時一併繳交</t>
    <phoneticPr fontId="2" type="noConversion"/>
  </si>
  <si>
    <t>00046614                    報告於結案時一併繳交</t>
    <phoneticPr fontId="2" type="noConversion"/>
  </si>
  <si>
    <t>00049618                  報告於結案時一併繳交</t>
    <phoneticPr fontId="2" type="noConversion"/>
  </si>
  <si>
    <t>00047480                  報告於結案時一併繳交</t>
    <phoneticPr fontId="2" type="noConversion"/>
  </si>
  <si>
    <t>00047118                報告於結案時一併繳交</t>
    <phoneticPr fontId="2" type="noConversion"/>
  </si>
  <si>
    <t>00047013                  報告於結案時一併繳交</t>
    <phoneticPr fontId="2" type="noConversion"/>
  </si>
  <si>
    <t>00047123                  報告於結案時一併繳交</t>
    <phoneticPr fontId="2" type="noConversion"/>
  </si>
  <si>
    <t>00046981                  報告於結案時一併繳交</t>
    <phoneticPr fontId="2" type="noConversion"/>
  </si>
  <si>
    <t>00047627                   報告於結案時一併繳交</t>
    <phoneticPr fontId="2" type="noConversion"/>
  </si>
  <si>
    <t>00047454                   報告於結案時一併繳交</t>
    <phoneticPr fontId="2" type="noConversion"/>
  </si>
  <si>
    <t>00047523                  報告於結案時一併繳交</t>
    <phoneticPr fontId="2" type="noConversion"/>
  </si>
  <si>
    <t>00047529                   報告於結案時一併繳交</t>
    <phoneticPr fontId="2" type="noConversion"/>
  </si>
  <si>
    <t>00047526                   報告於結案時一併繳交</t>
    <phoneticPr fontId="2" type="noConversion"/>
  </si>
  <si>
    <t>00047522                     報告於結案時一併繳交</t>
    <phoneticPr fontId="2" type="noConversion"/>
  </si>
  <si>
    <t>00051182                   報告於結案時一併繳交</t>
    <phoneticPr fontId="2" type="noConversion"/>
  </si>
  <si>
    <t>00049949                   報告於結案時一併繳交</t>
    <phoneticPr fontId="2" type="noConversion"/>
  </si>
  <si>
    <t>00050702                     報告於結案時一併繳交</t>
    <phoneticPr fontId="2" type="noConversion"/>
  </si>
  <si>
    <t>00051164                  報告於結案時一併繳交</t>
    <phoneticPr fontId="2" type="noConversion"/>
  </si>
  <si>
    <t>00051013                   報告於結案時一併繳交</t>
    <phoneticPr fontId="2" type="noConversion"/>
  </si>
  <si>
    <t>00050453                   報告於結案時一併繳交</t>
    <phoneticPr fontId="2" type="noConversion"/>
  </si>
  <si>
    <t>00049293                  報告於結案時一併繳交</t>
    <phoneticPr fontId="2" type="noConversion"/>
  </si>
  <si>
    <t>00049564                   報告於結案時一併繳交</t>
    <phoneticPr fontId="2" type="noConversion"/>
  </si>
  <si>
    <t>00050128                  報告於結案時一併繳交</t>
    <phoneticPr fontId="2" type="noConversion"/>
  </si>
  <si>
    <t>00049227                   報告於結案時一併繳交</t>
    <phoneticPr fontId="2" type="noConversion"/>
  </si>
  <si>
    <t>00048739                    報告於結案時一併繳交</t>
    <phoneticPr fontId="2" type="noConversion"/>
  </si>
  <si>
    <t>00049447                   報告於結案時一併繳交</t>
    <phoneticPr fontId="2" type="noConversion"/>
  </si>
  <si>
    <t>00049588                    報告於結案時一併繳交</t>
    <phoneticPr fontId="2" type="noConversion"/>
  </si>
  <si>
    <t>00049209                       報告於結案時一併繳交</t>
    <phoneticPr fontId="2" type="noConversion"/>
  </si>
  <si>
    <t>00049478                  報告於結案時一併繳交</t>
    <phoneticPr fontId="2" type="noConversion"/>
  </si>
  <si>
    <t>00046849                    報告於結案時一併繳交</t>
    <phoneticPr fontId="2" type="noConversion"/>
  </si>
  <si>
    <t>00048074                      報告於結案時一併繳交</t>
    <phoneticPr fontId="2" type="noConversion"/>
  </si>
  <si>
    <t>00047012                  報告於結案時一併繳交</t>
    <phoneticPr fontId="2" type="noConversion"/>
  </si>
  <si>
    <t>00047527                   報告於結案時一併繳交</t>
    <phoneticPr fontId="2" type="noConversion"/>
  </si>
  <si>
    <t>00051574               於計畫結案時一併繳交。</t>
    <phoneticPr fontId="3" type="noConversion"/>
  </si>
  <si>
    <t>00051763              於計畫結案時一併繳交。</t>
    <phoneticPr fontId="3" type="noConversion"/>
  </si>
  <si>
    <t>00051752                於計畫結案時一併繳交。</t>
    <phoneticPr fontId="3" type="noConversion"/>
  </si>
  <si>
    <t>00051761               於計畫結案時一併繳交。</t>
    <phoneticPr fontId="3" type="noConversion"/>
  </si>
  <si>
    <t>00051760               於計畫結案時一併繳交。</t>
    <phoneticPr fontId="3" type="noConversion"/>
  </si>
  <si>
    <t>00048303               報告於結案時一併繳交</t>
    <phoneticPr fontId="3" type="noConversion"/>
  </si>
  <si>
    <t>00051539              出國報告連同結案報告一併繳交。</t>
    <phoneticPr fontId="3" type="noConversion"/>
  </si>
  <si>
    <t>00049052             出國報告連同結案報告一併繳交。</t>
    <phoneticPr fontId="3" type="noConversion"/>
  </si>
  <si>
    <t>00047141              出國報告連同結案報告一併繳交。</t>
    <phoneticPr fontId="3" type="noConversion"/>
  </si>
  <si>
    <t>00050285               出國報告連同結案報告一併繳交。</t>
    <phoneticPr fontId="3" type="noConversion"/>
  </si>
  <si>
    <t>00049083                   赴加拿大蒙特婁參加第27屆IUGG會議 ( International Union of Geodesy and Geophysics)並發表演講：Modeling of long-range transport of Southeast Asia biomass burning pollutants to Taiwan during EMeRGe campaigns in Asia</t>
    <phoneticPr fontId="2" type="noConversion"/>
  </si>
  <si>
    <t>00050070              補助單位未要求繳交,故無須提出報告。</t>
    <phoneticPr fontId="3" type="noConversion"/>
  </si>
  <si>
    <t>00049772               補助單位未要求繳交,故無須提出報告。</t>
    <phoneticPr fontId="3" type="noConversion"/>
  </si>
  <si>
    <t>00049765              補助單位未要求繳交,故無須提出報告。</t>
    <phoneticPr fontId="3" type="noConversion"/>
  </si>
  <si>
    <t>00049766              補助單位未要求繳交,故無須提出報告。</t>
    <phoneticPr fontId="3" type="noConversion"/>
  </si>
  <si>
    <t>00049856            補助單位未要求繳交,故無須提出報告。</t>
    <phoneticPr fontId="3" type="noConversion"/>
  </si>
  <si>
    <t>00049862             補助單位未要求繳交,故無須提出報告。</t>
    <phoneticPr fontId="3" type="noConversion"/>
  </si>
  <si>
    <t>00049693             補助單位未要求繳交,故無須提出報告。</t>
    <phoneticPr fontId="3" type="noConversion"/>
  </si>
  <si>
    <t>00049640             補助單位未要求繳交,故無須提出報告。</t>
    <phoneticPr fontId="3" type="noConversion"/>
  </si>
  <si>
    <t>00048619            報告於結案時一併繳交</t>
    <phoneticPr fontId="3" type="noConversion"/>
  </si>
  <si>
    <t>00050685            報告於結案時一併繳交</t>
    <phoneticPr fontId="3" type="noConversion"/>
  </si>
  <si>
    <t>00047998              報告於結案時一併繳交</t>
    <phoneticPr fontId="3" type="noConversion"/>
  </si>
  <si>
    <t>00046779            多年期計畫尚未結案併期末報告一併繳交。</t>
    <phoneticPr fontId="3" type="noConversion"/>
  </si>
  <si>
    <t>00048643            報告於結案時一併繳交</t>
    <phoneticPr fontId="3" type="noConversion"/>
  </si>
  <si>
    <t>00046816            多年期計畫尚未結案併期末報告一併繳交。</t>
    <phoneticPr fontId="3" type="noConversion"/>
  </si>
  <si>
    <t>00046770             計畫結案併期末報告一併繳交</t>
    <phoneticPr fontId="3" type="noConversion"/>
  </si>
  <si>
    <t>00052625            計畫未結案併期末報告一併繳交</t>
    <phoneticPr fontId="3" type="noConversion"/>
  </si>
  <si>
    <t>00050117           計畫未結案併期末報告一併繳交</t>
    <phoneticPr fontId="3" type="noConversion"/>
  </si>
  <si>
    <t>00047036            計畫未結案併期末報告一併繳交</t>
    <phoneticPr fontId="3" type="noConversion"/>
  </si>
  <si>
    <t>00048654               計畫未結案併期末報告一併繳交</t>
    <phoneticPr fontId="3" type="noConversion"/>
  </si>
  <si>
    <t>00047735              計畫未結案併期末報告一併繳交</t>
    <phoneticPr fontId="3" type="noConversion"/>
  </si>
  <si>
    <t>中央研究院智慧財產權管理及促進推廣運用前瞻計畫_MOST 107-3111-Y-001-050</t>
    <phoneticPr fontId="2" type="noConversion"/>
  </si>
  <si>
    <t>中央研究院智慧財產權管理及促進推廣運用前瞻計畫_MOST 107-3111-Y-001-050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</si>
</sst>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6" formatCode="_-* #,##0_-;\-* #,##0_-;_-* &quot;-&quot;??_-;_-@_-"/>
    <numFmt numFmtId="177" formatCode="#,##0_);[Red]\(#,##0\)"/>
    <numFmt numFmtId="178" formatCode="#,##0_ "/>
    <numFmt numFmtId="179" formatCode="0.00_ "/>
  </numFmts>
  <fonts count="48" x14ac:knownFonts="1">
    <font>
      <sz val="11"/>
      <color theme="1"/>
      <name val="新細明體"/>
      <family val="2"/>
      <scheme val="minor"/>
    </font>
    <font>
      <sz val="12"/>
      <color theme="1"/>
      <name val="新細明體"/>
      <family val="2"/>
      <charset val="136"/>
      <scheme val="minor"/>
    </font>
    <font>
      <sz val="9"/>
      <name val="新細明體"/>
      <family val="1"/>
      <charset val="136"/>
    </font>
    <font>
      <sz val="9"/>
      <name val="新細明體"/>
      <family val="3"/>
      <charset val="136"/>
      <scheme val="minor"/>
    </font>
    <font>
      <sz val="10"/>
      <color theme="1"/>
      <name val="Calibri"/>
      <family val="2"/>
    </font>
    <font>
      <sz val="9"/>
      <name val="新細明體"/>
      <family val="2"/>
      <charset val="136"/>
      <scheme val="minor"/>
    </font>
    <font>
      <sz val="11"/>
      <color rgb="FFFF0000"/>
      <name val="新細明體"/>
      <family val="2"/>
      <scheme val="minor"/>
    </font>
    <font>
      <sz val="11"/>
      <color theme="1"/>
      <name val="新細明體"/>
      <family val="2"/>
      <scheme val="minor"/>
    </font>
    <font>
      <sz val="10"/>
      <color theme="1"/>
      <name val="細明體"/>
      <family val="3"/>
      <charset val="136"/>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0"/>
      <name val="細明體"/>
      <family val="3"/>
      <charset val="136"/>
    </font>
    <font>
      <sz val="10"/>
      <color rgb="FFFF0000"/>
      <name val="細明體"/>
      <family val="3"/>
      <charset val="136"/>
    </font>
    <font>
      <sz val="10"/>
      <color indexed="8"/>
      <name val="Calibri"/>
      <family val="2"/>
    </font>
    <font>
      <sz val="10"/>
      <color indexed="8"/>
      <name val="細明體"/>
      <family val="3"/>
      <charset val="136"/>
    </font>
    <font>
      <sz val="10"/>
      <color rgb="FF000000"/>
      <name val="細明體"/>
      <family val="3"/>
      <charset val="136"/>
    </font>
    <font>
      <sz val="10"/>
      <color theme="4" tint="-0.499984740745262"/>
      <name val="細明體"/>
      <family val="3"/>
      <charset val="136"/>
    </font>
    <font>
      <u/>
      <sz val="10"/>
      <color theme="1"/>
      <name val="細明體"/>
      <family val="3"/>
      <charset val="136"/>
    </font>
    <font>
      <b/>
      <sz val="10"/>
      <color theme="7"/>
      <name val="細明體"/>
      <family val="3"/>
      <charset val="136"/>
    </font>
    <font>
      <b/>
      <u/>
      <sz val="10"/>
      <color rgb="FF7030A0"/>
      <name val="細明體"/>
      <family val="3"/>
      <charset val="136"/>
    </font>
    <font>
      <b/>
      <sz val="10"/>
      <color rgb="FF7030A0"/>
      <name val="細明體"/>
      <family val="3"/>
      <charset val="136"/>
    </font>
    <font>
      <sz val="8"/>
      <color theme="1"/>
      <name val="細明體"/>
      <family val="3"/>
      <charset val="136"/>
    </font>
    <font>
      <sz val="8"/>
      <name val="細明體"/>
      <family val="3"/>
      <charset val="136"/>
    </font>
    <font>
      <b/>
      <sz val="8"/>
      <color rgb="FF000000"/>
      <name val="細明體"/>
      <family val="3"/>
      <charset val="136"/>
    </font>
    <font>
      <sz val="8"/>
      <color rgb="FF000000"/>
      <name val="細明體"/>
      <family val="3"/>
      <charset val="136"/>
    </font>
    <font>
      <u/>
      <sz val="8"/>
      <color theme="1"/>
      <name val="細明體"/>
      <family val="3"/>
      <charset val="136"/>
    </font>
    <font>
      <sz val="8"/>
      <color rgb="FFFF0000"/>
      <name val="細明體"/>
      <family val="3"/>
      <charset val="136"/>
    </font>
    <font>
      <b/>
      <sz val="11"/>
      <color rgb="FF7030A0"/>
      <name val="新細明體"/>
      <family val="2"/>
      <scheme val="minor"/>
    </font>
    <font>
      <b/>
      <sz val="8"/>
      <color rgb="FFFF0000"/>
      <name val="細明體"/>
      <family val="3"/>
      <charset val="136"/>
    </font>
    <font>
      <sz val="9"/>
      <color theme="1"/>
      <name val="細明體"/>
      <family val="3"/>
      <charset val="136"/>
    </font>
    <font>
      <b/>
      <sz val="10"/>
      <color rgb="FFFF0000"/>
      <name val="細明體"/>
      <family val="3"/>
      <charset val="136"/>
    </font>
    <font>
      <b/>
      <sz val="14"/>
      <color theme="1"/>
      <name val="細明體"/>
      <family val="3"/>
      <charset val="136"/>
    </font>
    <font>
      <sz val="11"/>
      <color theme="1"/>
      <name val="新細明體-ExtB"/>
      <family val="1"/>
      <charset val="136"/>
    </font>
    <font>
      <b/>
      <sz val="14"/>
      <color rgb="FFFF0000"/>
      <name val="細明體"/>
      <family val="3"/>
      <charset val="136"/>
    </font>
  </fonts>
  <fills count="38">
    <fill>
      <patternFill patternType="none"/>
    </fill>
    <fill>
      <patternFill patternType="gray125"/>
    </fill>
    <fill>
      <patternFill patternType="none"/>
    </fill>
    <fill>
      <patternFill patternType="solid">
        <fgColor rgb="FFFFCC99"/>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rgb="FF000000"/>
      </patternFill>
    </fill>
  </fills>
  <borders count="13">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4">
    <xf numFmtId="0" fontId="0" fillId="0" borderId="0"/>
    <xf numFmtId="43" fontId="7" fillId="0" borderId="0" applyFont="0" applyFill="0" applyBorder="0" applyAlignment="0" applyProtection="0">
      <alignment vertical="center"/>
    </xf>
    <xf numFmtId="0" fontId="16" fillId="3" borderId="6" applyNumberFormat="0" applyAlignment="0" applyProtection="0">
      <alignment vertical="center"/>
    </xf>
    <xf numFmtId="0" fontId="17" fillId="9" borderId="7" applyNumberFormat="0" applyAlignment="0" applyProtection="0">
      <alignment vertical="center"/>
    </xf>
    <xf numFmtId="0" fontId="18" fillId="9" borderId="6" applyNumberFormat="0" applyAlignment="0" applyProtection="0">
      <alignment vertical="center"/>
    </xf>
    <xf numFmtId="0" fontId="20" fillId="10" borderId="9" applyNumberFormat="0" applyAlignment="0" applyProtection="0">
      <alignment vertical="center"/>
    </xf>
    <xf numFmtId="0" fontId="1" fillId="2" borderId="1">
      <alignment vertical="center"/>
    </xf>
    <xf numFmtId="0" fontId="9" fillId="2" borderId="1" applyNumberFormat="0" applyFill="0" applyBorder="0" applyAlignment="0" applyProtection="0">
      <alignment vertical="center"/>
    </xf>
    <xf numFmtId="0" fontId="10" fillId="2" borderId="3" applyNumberFormat="0" applyFill="0" applyAlignment="0" applyProtection="0">
      <alignment vertical="center"/>
    </xf>
    <xf numFmtId="0" fontId="11" fillId="2" borderId="4" applyNumberFormat="0" applyFill="0" applyAlignment="0" applyProtection="0">
      <alignment vertical="center"/>
    </xf>
    <xf numFmtId="0" fontId="12" fillId="2" borderId="5" applyNumberFormat="0" applyFill="0" applyAlignment="0" applyProtection="0">
      <alignment vertical="center"/>
    </xf>
    <xf numFmtId="0" fontId="12" fillId="2" borderId="1" applyNumberFormat="0" applyFill="0" applyBorder="0" applyAlignment="0" applyProtection="0">
      <alignment vertical="center"/>
    </xf>
    <xf numFmtId="0" fontId="13" fillId="6" borderId="1" applyNumberFormat="0" applyBorder="0" applyAlignment="0" applyProtection="0">
      <alignment vertical="center"/>
    </xf>
    <xf numFmtId="0" fontId="14" fillId="7" borderId="1" applyNumberFormat="0" applyBorder="0" applyAlignment="0" applyProtection="0">
      <alignment vertical="center"/>
    </xf>
    <xf numFmtId="0" fontId="15" fillId="8" borderId="1" applyNumberFormat="0" applyBorder="0" applyAlignment="0" applyProtection="0">
      <alignment vertical="center"/>
    </xf>
    <xf numFmtId="0" fontId="19" fillId="2" borderId="8" applyNumberFormat="0" applyFill="0" applyAlignment="0" applyProtection="0">
      <alignment vertical="center"/>
    </xf>
    <xf numFmtId="0" fontId="21" fillId="2" borderId="1" applyNumberFormat="0" applyFill="0" applyBorder="0" applyAlignment="0" applyProtection="0">
      <alignment vertical="center"/>
    </xf>
    <xf numFmtId="0" fontId="1" fillId="11" borderId="10" applyNumberFormat="0" applyFont="0" applyAlignment="0" applyProtection="0">
      <alignment vertical="center"/>
    </xf>
    <xf numFmtId="0" fontId="22" fillId="2" borderId="1" applyNumberFormat="0" applyFill="0" applyBorder="0" applyAlignment="0" applyProtection="0">
      <alignment vertical="center"/>
    </xf>
    <xf numFmtId="0" fontId="23" fillId="2" borderId="11" applyNumberFormat="0" applyFill="0" applyAlignment="0" applyProtection="0">
      <alignment vertical="center"/>
    </xf>
    <xf numFmtId="0" fontId="24" fillId="12" borderId="1" applyNumberFormat="0" applyBorder="0" applyAlignment="0" applyProtection="0">
      <alignment vertical="center"/>
    </xf>
    <xf numFmtId="0" fontId="1" fillId="13" borderId="1" applyNumberFormat="0" applyBorder="0" applyAlignment="0" applyProtection="0">
      <alignment vertical="center"/>
    </xf>
    <xf numFmtId="0" fontId="1" fillId="14" borderId="1" applyNumberFormat="0" applyBorder="0" applyAlignment="0" applyProtection="0">
      <alignment vertical="center"/>
    </xf>
    <xf numFmtId="0" fontId="24" fillId="15" borderId="1" applyNumberFormat="0" applyBorder="0" applyAlignment="0" applyProtection="0">
      <alignment vertical="center"/>
    </xf>
    <xf numFmtId="0" fontId="24" fillId="16" borderId="1" applyNumberFormat="0" applyBorder="0" applyAlignment="0" applyProtection="0">
      <alignment vertical="center"/>
    </xf>
    <xf numFmtId="0" fontId="1" fillId="17" borderId="1" applyNumberFormat="0" applyBorder="0" applyAlignment="0" applyProtection="0">
      <alignment vertical="center"/>
    </xf>
    <xf numFmtId="0" fontId="1" fillId="18" borderId="1" applyNumberFormat="0" applyBorder="0" applyAlignment="0" applyProtection="0">
      <alignment vertical="center"/>
    </xf>
    <xf numFmtId="0" fontId="24" fillId="19" borderId="1" applyNumberFormat="0" applyBorder="0" applyAlignment="0" applyProtection="0">
      <alignment vertical="center"/>
    </xf>
    <xf numFmtId="0" fontId="24" fillId="20" borderId="1" applyNumberFormat="0" applyBorder="0" applyAlignment="0" applyProtection="0">
      <alignment vertical="center"/>
    </xf>
    <xf numFmtId="0" fontId="1" fillId="21" borderId="1" applyNumberFormat="0" applyBorder="0" applyAlignment="0" applyProtection="0">
      <alignment vertical="center"/>
    </xf>
    <xf numFmtId="0" fontId="1" fillId="22" borderId="1" applyNumberFormat="0" applyBorder="0" applyAlignment="0" applyProtection="0">
      <alignment vertical="center"/>
    </xf>
    <xf numFmtId="0" fontId="24" fillId="23" borderId="1" applyNumberFormat="0" applyBorder="0" applyAlignment="0" applyProtection="0">
      <alignment vertical="center"/>
    </xf>
    <xf numFmtId="0" fontId="24" fillId="24" borderId="1" applyNumberFormat="0" applyBorder="0" applyAlignment="0" applyProtection="0">
      <alignment vertical="center"/>
    </xf>
    <xf numFmtId="0" fontId="1" fillId="25" borderId="1" applyNumberFormat="0" applyBorder="0" applyAlignment="0" applyProtection="0">
      <alignment vertical="center"/>
    </xf>
    <xf numFmtId="0" fontId="1" fillId="26" borderId="1" applyNumberFormat="0" applyBorder="0" applyAlignment="0" applyProtection="0">
      <alignment vertical="center"/>
    </xf>
    <xf numFmtId="0" fontId="24" fillId="27" borderId="1" applyNumberFormat="0" applyBorder="0" applyAlignment="0" applyProtection="0">
      <alignment vertical="center"/>
    </xf>
    <xf numFmtId="0" fontId="24" fillId="28" borderId="1" applyNumberFormat="0" applyBorder="0" applyAlignment="0" applyProtection="0">
      <alignment vertical="center"/>
    </xf>
    <xf numFmtId="0" fontId="1" fillId="29" borderId="1" applyNumberFormat="0" applyBorder="0" applyAlignment="0" applyProtection="0">
      <alignment vertical="center"/>
    </xf>
    <xf numFmtId="0" fontId="1" fillId="30" borderId="1" applyNumberFormat="0" applyBorder="0" applyAlignment="0" applyProtection="0">
      <alignment vertical="center"/>
    </xf>
    <xf numFmtId="0" fontId="24" fillId="31" borderId="1" applyNumberFormat="0" applyBorder="0" applyAlignment="0" applyProtection="0">
      <alignment vertical="center"/>
    </xf>
    <xf numFmtId="0" fontId="24" fillId="32" borderId="1" applyNumberFormat="0" applyBorder="0" applyAlignment="0" applyProtection="0">
      <alignment vertical="center"/>
    </xf>
    <xf numFmtId="0" fontId="1" fillId="33" borderId="1" applyNumberFormat="0" applyBorder="0" applyAlignment="0" applyProtection="0">
      <alignment vertical="center"/>
    </xf>
    <xf numFmtId="0" fontId="1" fillId="34" borderId="1" applyNumberFormat="0" applyBorder="0" applyAlignment="0" applyProtection="0">
      <alignment vertical="center"/>
    </xf>
    <xf numFmtId="0" fontId="24" fillId="35" borderId="1" applyNumberFormat="0" applyBorder="0" applyAlignment="0" applyProtection="0">
      <alignment vertical="center"/>
    </xf>
  </cellStyleXfs>
  <cellXfs count="175">
    <xf numFmtId="0" fontId="0" fillId="0" borderId="0" xfId="0"/>
    <xf numFmtId="0" fontId="4" fillId="4" borderId="0" xfId="0" applyFont="1" applyFill="1" applyAlignment="1">
      <alignment vertical="center"/>
    </xf>
    <xf numFmtId="0" fontId="6" fillId="0" borderId="0" xfId="0" applyFont="1"/>
    <xf numFmtId="0" fontId="4" fillId="4" borderId="1" xfId="0" applyFont="1" applyFill="1" applyBorder="1" applyAlignment="1">
      <alignment vertical="center"/>
    </xf>
    <xf numFmtId="0" fontId="0" fillId="0" borderId="1" xfId="0" applyBorder="1"/>
    <xf numFmtId="0" fontId="4" fillId="4" borderId="12" xfId="0" applyFont="1" applyFill="1" applyBorder="1" applyAlignment="1">
      <alignment vertical="center"/>
    </xf>
    <xf numFmtId="0" fontId="8" fillId="0" borderId="0" xfId="0" applyFont="1"/>
    <xf numFmtId="178" fontId="8" fillId="0" borderId="0" xfId="0" applyNumberFormat="1" applyFont="1"/>
    <xf numFmtId="0" fontId="26" fillId="0" borderId="1" xfId="0" applyFont="1" applyBorder="1" applyAlignment="1"/>
    <xf numFmtId="178" fontId="8" fillId="0" borderId="1" xfId="0" applyNumberFormat="1" applyFont="1" applyBorder="1"/>
    <xf numFmtId="0" fontId="8" fillId="0" borderId="1" xfId="0" applyFont="1" applyBorder="1"/>
    <xf numFmtId="0" fontId="8" fillId="4" borderId="2" xfId="0" applyFont="1" applyFill="1" applyBorder="1" applyAlignment="1">
      <alignment vertical="center"/>
    </xf>
    <xf numFmtId="178" fontId="35" fillId="0" borderId="0" xfId="0" applyNumberFormat="1" applyFont="1"/>
    <xf numFmtId="0" fontId="8" fillId="0" borderId="0" xfId="0" applyFont="1" applyAlignment="1">
      <alignment vertical="center"/>
    </xf>
    <xf numFmtId="178" fontId="8" fillId="4" borderId="2" xfId="0" applyNumberFormat="1" applyFont="1" applyFill="1" applyBorder="1" applyAlignment="1">
      <alignment horizontal="center" vertical="center" wrapText="1"/>
    </xf>
    <xf numFmtId="0" fontId="35" fillId="4" borderId="2" xfId="0" applyFont="1" applyFill="1" applyBorder="1" applyAlignment="1">
      <alignment horizontal="center" vertical="center" wrapText="1"/>
    </xf>
    <xf numFmtId="177" fontId="35" fillId="4" borderId="2" xfId="0" applyNumberFormat="1" applyFont="1" applyFill="1" applyBorder="1" applyAlignment="1">
      <alignment vertical="center" wrapText="1"/>
    </xf>
    <xf numFmtId="0" fontId="0" fillId="0" borderId="0" xfId="0" applyAlignment="1"/>
    <xf numFmtId="0" fontId="0" fillId="0" borderId="0" xfId="0" applyFont="1"/>
    <xf numFmtId="0" fontId="43" fillId="4" borderId="2" xfId="0" applyFont="1" applyFill="1" applyBorder="1" applyAlignment="1">
      <alignment vertical="center" wrapText="1"/>
    </xf>
    <xf numFmtId="49" fontId="8" fillId="5" borderId="2" xfId="0" applyNumberFormat="1" applyFont="1" applyFill="1" applyBorder="1" applyAlignment="1">
      <alignment vertical="center" wrapText="1"/>
    </xf>
    <xf numFmtId="0" fontId="25" fillId="36" borderId="2" xfId="0" applyFont="1" applyFill="1" applyBorder="1" applyAlignment="1">
      <alignment horizontal="center" vertical="center" wrapText="1"/>
    </xf>
    <xf numFmtId="0" fontId="25" fillId="36" borderId="2" xfId="0" applyFont="1" applyFill="1" applyBorder="1" applyAlignment="1">
      <alignment vertical="center" wrapText="1"/>
    </xf>
    <xf numFmtId="178" fontId="36" fillId="36" borderId="2" xfId="0" applyNumberFormat="1" applyFont="1" applyFill="1" applyBorder="1" applyAlignment="1">
      <alignment vertical="center" wrapText="1"/>
    </xf>
    <xf numFmtId="178" fontId="25" fillId="36" borderId="2" xfId="0" applyNumberFormat="1" applyFont="1" applyFill="1" applyBorder="1" applyAlignment="1">
      <alignment vertical="center" wrapText="1"/>
    </xf>
    <xf numFmtId="0" fontId="8" fillId="4" borderId="2" xfId="0" applyFont="1" applyFill="1" applyBorder="1" applyAlignment="1">
      <alignment horizontal="left" vertical="center" wrapText="1"/>
    </xf>
    <xf numFmtId="0" fontId="8" fillId="4" borderId="2" xfId="0" quotePrefix="1" applyFont="1" applyFill="1" applyBorder="1" applyAlignment="1">
      <alignment horizontal="left" vertical="center" wrapText="1"/>
    </xf>
    <xf numFmtId="3" fontId="35" fillId="2" borderId="2" xfId="0" applyNumberFormat="1" applyFont="1" applyFill="1" applyBorder="1" applyAlignment="1">
      <alignment vertical="center" wrapText="1"/>
    </xf>
    <xf numFmtId="0" fontId="35" fillId="4" borderId="2" xfId="0" applyFont="1" applyFill="1" applyBorder="1" applyAlignment="1">
      <alignment vertical="center" wrapText="1"/>
    </xf>
    <xf numFmtId="3" fontId="8" fillId="5" borderId="2" xfId="0" applyNumberFormat="1" applyFont="1" applyFill="1" applyBorder="1" applyAlignment="1">
      <alignment vertical="center" wrapText="1"/>
    </xf>
    <xf numFmtId="0" fontId="35" fillId="5" borderId="2" xfId="0" applyFont="1" applyFill="1" applyBorder="1" applyAlignment="1">
      <alignment vertical="center" wrapText="1"/>
    </xf>
    <xf numFmtId="0" fontId="8" fillId="5" borderId="2" xfId="0" quotePrefix="1" applyFont="1" applyFill="1" applyBorder="1" applyAlignment="1">
      <alignment vertical="center" wrapText="1"/>
    </xf>
    <xf numFmtId="3" fontId="40" fillId="4" borderId="2" xfId="0" applyNumberFormat="1" applyFont="1" applyFill="1" applyBorder="1" applyAlignment="1">
      <alignment vertical="center" wrapText="1"/>
    </xf>
    <xf numFmtId="0" fontId="37" fillId="37" borderId="2" xfId="0" applyFont="1" applyFill="1" applyBorder="1" applyAlignment="1">
      <alignment horizontal="center" vertical="center" wrapText="1"/>
    </xf>
    <xf numFmtId="0" fontId="29" fillId="37" borderId="2" xfId="0" applyFont="1" applyFill="1" applyBorder="1" applyAlignment="1">
      <alignment vertical="center" wrapText="1"/>
    </xf>
    <xf numFmtId="0" fontId="29" fillId="37" borderId="2" xfId="0" applyFont="1" applyFill="1" applyBorder="1" applyAlignment="1">
      <alignment horizontal="center" vertical="center" wrapText="1"/>
    </xf>
    <xf numFmtId="3" fontId="38" fillId="37" borderId="2" xfId="0" applyNumberFormat="1" applyFont="1" applyFill="1" applyBorder="1" applyAlignment="1">
      <alignment vertical="center" wrapText="1"/>
    </xf>
    <xf numFmtId="0" fontId="8" fillId="4" borderId="2" xfId="6" applyFont="1" applyFill="1" applyBorder="1" applyAlignment="1">
      <alignment horizontal="center" vertical="center" wrapText="1"/>
    </xf>
    <xf numFmtId="0" fontId="8" fillId="4" borderId="2" xfId="6" applyFont="1" applyFill="1" applyBorder="1" applyAlignment="1">
      <alignment vertical="center" wrapText="1"/>
    </xf>
    <xf numFmtId="3" fontId="35" fillId="4" borderId="2" xfId="6" applyNumberFormat="1" applyFont="1" applyFill="1" applyBorder="1" applyAlignment="1">
      <alignment vertical="center" wrapText="1"/>
    </xf>
    <xf numFmtId="0" fontId="8" fillId="4" borderId="2" xfId="0" applyFont="1" applyFill="1" applyBorder="1" applyAlignment="1">
      <alignment horizontal="center" vertical="top" wrapText="1"/>
    </xf>
    <xf numFmtId="0" fontId="8" fillId="4" borderId="2" xfId="0" applyFont="1" applyFill="1" applyBorder="1" applyAlignment="1">
      <alignment vertical="top" wrapText="1"/>
    </xf>
    <xf numFmtId="3" fontId="35" fillId="4" borderId="2" xfId="0" applyNumberFormat="1" applyFont="1" applyFill="1" applyBorder="1" applyAlignment="1">
      <alignment vertical="top" wrapText="1"/>
    </xf>
    <xf numFmtId="0" fontId="8" fillId="4" borderId="2" xfId="0" quotePrefix="1" applyFont="1" applyFill="1" applyBorder="1" applyAlignment="1">
      <alignment vertical="center" wrapText="1"/>
    </xf>
    <xf numFmtId="3" fontId="8" fillId="4" borderId="2" xfId="0" applyNumberFormat="1" applyFont="1" applyFill="1" applyBorder="1" applyAlignment="1">
      <alignment vertical="top" wrapText="1"/>
    </xf>
    <xf numFmtId="177" fontId="40" fillId="4" borderId="2" xfId="0" applyNumberFormat="1" applyFont="1" applyFill="1" applyBorder="1" applyAlignment="1">
      <alignment vertical="center" wrapText="1"/>
    </xf>
    <xf numFmtId="3" fontId="25" fillId="4" borderId="2" xfId="0" applyNumberFormat="1" applyFont="1" applyFill="1" applyBorder="1" applyAlignment="1">
      <alignmen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vertical="center" wrapText="1"/>
    </xf>
    <xf numFmtId="3" fontId="8" fillId="2" borderId="2" xfId="0" applyNumberFormat="1" applyFont="1" applyFill="1" applyBorder="1" applyAlignment="1">
      <alignment vertical="center" wrapText="1"/>
    </xf>
    <xf numFmtId="0" fontId="35" fillId="2" borderId="2" xfId="0" applyFont="1" applyFill="1" applyBorder="1" applyAlignment="1">
      <alignment vertical="center" wrapText="1"/>
    </xf>
    <xf numFmtId="178" fontId="35" fillId="5" borderId="2" xfId="0" applyNumberFormat="1" applyFont="1" applyFill="1" applyBorder="1" applyAlignment="1">
      <alignment vertical="center" wrapText="1"/>
    </xf>
    <xf numFmtId="0" fontId="30" fillId="4" borderId="2" xfId="0" applyFont="1" applyFill="1" applyBorder="1" applyAlignment="1">
      <alignment vertical="center" wrapText="1"/>
    </xf>
    <xf numFmtId="3" fontId="36" fillId="4" borderId="2" xfId="0" applyNumberFormat="1" applyFont="1" applyFill="1" applyBorder="1" applyAlignment="1">
      <alignment vertical="center" wrapText="1"/>
    </xf>
    <xf numFmtId="0" fontId="30" fillId="2" borderId="2" xfId="0" applyFont="1" applyFill="1" applyBorder="1" applyAlignment="1">
      <alignment vertical="center" wrapText="1"/>
    </xf>
    <xf numFmtId="3" fontId="36" fillId="2" borderId="2" xfId="0" applyNumberFormat="1" applyFont="1" applyFill="1" applyBorder="1" applyAlignment="1">
      <alignment vertical="center" wrapText="1"/>
    </xf>
    <xf numFmtId="0" fontId="25" fillId="2" borderId="2" xfId="0" applyFont="1" applyFill="1" applyBorder="1" applyAlignment="1">
      <alignment vertical="center" wrapText="1"/>
    </xf>
    <xf numFmtId="0" fontId="35" fillId="4" borderId="2" xfId="0" applyFont="1" applyFill="1" applyBorder="1" applyAlignment="1">
      <alignment vertical="top" wrapText="1"/>
    </xf>
    <xf numFmtId="178" fontId="36" fillId="4" borderId="2" xfId="0" applyNumberFormat="1" applyFont="1" applyFill="1" applyBorder="1" applyAlignment="1">
      <alignment vertical="center" wrapText="1"/>
    </xf>
    <xf numFmtId="178" fontId="40" fillId="4" borderId="2" xfId="0" applyNumberFormat="1" applyFont="1" applyFill="1" applyBorder="1" applyAlignment="1">
      <alignment vertical="center" wrapText="1"/>
    </xf>
    <xf numFmtId="0" fontId="36" fillId="4" borderId="2" xfId="0" applyFont="1" applyFill="1" applyBorder="1" applyAlignment="1">
      <alignment vertical="center" wrapText="1"/>
    </xf>
    <xf numFmtId="0" fontId="8" fillId="0" borderId="1" xfId="0" applyFont="1" applyBorder="1" applyAlignment="1">
      <alignment horizontal="center"/>
    </xf>
    <xf numFmtId="0" fontId="8" fillId="0" borderId="2" xfId="0" applyFont="1" applyBorder="1" applyAlignment="1">
      <alignment horizontal="right"/>
    </xf>
    <xf numFmtId="0" fontId="29" fillId="37" borderId="2" xfId="0" quotePrefix="1" applyFont="1" applyFill="1" applyBorder="1" applyAlignment="1">
      <alignment vertical="center" wrapText="1"/>
    </xf>
    <xf numFmtId="0" fontId="8" fillId="4" borderId="2" xfId="0" quotePrefix="1" applyFont="1" applyFill="1" applyBorder="1" applyAlignment="1">
      <alignment horizontal="left" vertical="top" wrapText="1"/>
    </xf>
    <xf numFmtId="3" fontId="29" fillId="37" borderId="2" xfId="0" applyNumberFormat="1" applyFont="1" applyFill="1" applyBorder="1" applyAlignment="1">
      <alignment vertical="center" wrapText="1"/>
    </xf>
    <xf numFmtId="3" fontId="8" fillId="4" borderId="2" xfId="6" applyNumberFormat="1" applyFont="1" applyFill="1" applyBorder="1" applyAlignment="1">
      <alignment vertical="center" wrapText="1"/>
    </xf>
    <xf numFmtId="0" fontId="8" fillId="4" borderId="2" xfId="0" applyFont="1" applyFill="1" applyBorder="1" applyAlignment="1">
      <alignment horizontal="left" vertical="top" wrapText="1"/>
    </xf>
    <xf numFmtId="3" fontId="25" fillId="5" borderId="2" xfId="0" applyNumberFormat="1" applyFont="1" applyFill="1" applyBorder="1" applyAlignment="1">
      <alignment vertical="center" wrapText="1"/>
    </xf>
    <xf numFmtId="3" fontId="8" fillId="4" borderId="2" xfId="0" applyNumberFormat="1" applyFont="1" applyFill="1" applyBorder="1" applyAlignment="1">
      <alignment vertical="center"/>
    </xf>
    <xf numFmtId="3" fontId="8" fillId="4" borderId="2" xfId="0" applyNumberFormat="1" applyFont="1" applyFill="1" applyBorder="1" applyAlignment="1">
      <alignment horizontal="center" vertical="center" wrapText="1"/>
    </xf>
    <xf numFmtId="178" fontId="46" fillId="0" borderId="2" xfId="0" applyNumberFormat="1" applyFont="1" applyBorder="1" applyAlignment="1">
      <alignment horizontal="right" vertical="center"/>
    </xf>
    <xf numFmtId="178" fontId="46" fillId="0" borderId="2" xfId="0" applyNumberFormat="1" applyFont="1" applyBorder="1" applyAlignment="1">
      <alignment vertical="center"/>
    </xf>
    <xf numFmtId="176" fontId="46" fillId="0" borderId="2" xfId="1" applyNumberFormat="1" applyFont="1" applyBorder="1" applyAlignment="1">
      <alignment vertical="center" wrapText="1"/>
    </xf>
    <xf numFmtId="3" fontId="46" fillId="4" borderId="2" xfId="0" applyNumberFormat="1" applyFont="1" applyFill="1" applyBorder="1" applyAlignment="1">
      <alignment vertical="center" wrapText="1"/>
    </xf>
    <xf numFmtId="3" fontId="8" fillId="0" borderId="0" xfId="0" applyNumberFormat="1" applyFont="1"/>
    <xf numFmtId="0" fontId="8" fillId="5" borderId="2" xfId="0" applyFont="1" applyFill="1" applyBorder="1" applyAlignment="1">
      <alignment horizontal="left" vertical="center" wrapText="1"/>
    </xf>
    <xf numFmtId="0" fontId="8" fillId="5" borderId="2" xfId="0" applyFont="1" applyFill="1" applyBorder="1" applyAlignment="1">
      <alignment vertical="center"/>
    </xf>
    <xf numFmtId="0" fontId="8" fillId="4" borderId="2" xfId="0" applyFont="1" applyFill="1" applyBorder="1" applyAlignment="1">
      <alignment horizontal="justify" vertical="center" wrapText="1"/>
    </xf>
    <xf numFmtId="0" fontId="25"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6" fillId="0" borderId="1" xfId="0" applyFont="1" applyBorder="1" applyAlignment="1">
      <alignment horizontal="center"/>
    </xf>
    <xf numFmtId="0" fontId="8" fillId="5" borderId="2" xfId="0" applyFont="1" applyFill="1" applyBorder="1" applyAlignment="1">
      <alignment horizontal="center" vertical="center" wrapText="1"/>
    </xf>
    <xf numFmtId="0" fontId="8" fillId="5" borderId="2" xfId="0" applyFont="1" applyFill="1" applyBorder="1" applyAlignment="1">
      <alignment vertical="center" wrapText="1"/>
    </xf>
    <xf numFmtId="3" fontId="35" fillId="5" borderId="2" xfId="0" applyNumberFormat="1" applyFont="1" applyFill="1" applyBorder="1" applyAlignment="1">
      <alignment vertical="center" wrapText="1"/>
    </xf>
    <xf numFmtId="0" fontId="26" fillId="4" borderId="2" xfId="0" applyFont="1" applyFill="1" applyBorder="1" applyAlignment="1">
      <alignment horizontal="center" vertical="center" wrapText="1"/>
    </xf>
    <xf numFmtId="49" fontId="8" fillId="5" borderId="2" xfId="0" applyNumberFormat="1"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vertical="center" wrapText="1"/>
    </xf>
    <xf numFmtId="178" fontId="35" fillId="4" borderId="2" xfId="0" applyNumberFormat="1" applyFont="1" applyFill="1" applyBorder="1" applyAlignment="1">
      <alignment vertical="center" wrapText="1"/>
    </xf>
    <xf numFmtId="3" fontId="35" fillId="4" borderId="2" xfId="0" applyNumberFormat="1" applyFont="1" applyFill="1" applyBorder="1" applyAlignment="1">
      <alignment vertical="center" wrapText="1"/>
    </xf>
    <xf numFmtId="0" fontId="8" fillId="4" borderId="2" xfId="0" applyFont="1" applyFill="1" applyBorder="1" applyAlignment="1">
      <alignment horizontal="center" vertical="center"/>
    </xf>
    <xf numFmtId="0" fontId="26" fillId="4" borderId="2" xfId="0" applyFont="1" applyFill="1" applyBorder="1" applyAlignment="1">
      <alignment vertical="center" wrapText="1"/>
    </xf>
    <xf numFmtId="3" fontId="8" fillId="4" borderId="2" xfId="0" applyNumberFormat="1" applyFont="1" applyFill="1" applyBorder="1" applyAlignment="1">
      <alignment vertical="center" wrapText="1"/>
    </xf>
    <xf numFmtId="178" fontId="8" fillId="4" borderId="2" xfId="0" applyNumberFormat="1" applyFont="1" applyFill="1" applyBorder="1" applyAlignment="1">
      <alignment vertical="center" wrapText="1"/>
    </xf>
    <xf numFmtId="0" fontId="25" fillId="4" borderId="2" xfId="0" applyFont="1" applyFill="1" applyBorder="1" applyAlignment="1">
      <alignment vertical="center" wrapText="1"/>
    </xf>
    <xf numFmtId="0" fontId="8" fillId="0" borderId="0" xfId="0" applyFont="1" applyAlignment="1">
      <alignment horizontal="center"/>
    </xf>
    <xf numFmtId="49" fontId="8" fillId="5" borderId="2" xfId="0" quotePrefix="1" applyNumberFormat="1" applyFont="1" applyFill="1" applyBorder="1" applyAlignment="1">
      <alignment horizontal="left" vertical="center" wrapText="1"/>
    </xf>
    <xf numFmtId="178" fontId="35" fillId="5" borderId="2" xfId="0" applyNumberFormat="1" applyFont="1" applyFill="1" applyBorder="1" applyAlignment="1">
      <alignment horizontal="right" vertical="center" wrapText="1"/>
    </xf>
    <xf numFmtId="178" fontId="36" fillId="5" borderId="2" xfId="0" applyNumberFormat="1" applyFont="1" applyFill="1" applyBorder="1" applyAlignment="1">
      <alignment vertical="center" wrapText="1"/>
    </xf>
    <xf numFmtId="3" fontId="40" fillId="2" borderId="2" xfId="0" applyNumberFormat="1" applyFont="1" applyFill="1" applyBorder="1" applyAlignment="1">
      <alignment vertical="center" wrapText="1"/>
    </xf>
    <xf numFmtId="3" fontId="35" fillId="4" borderId="2" xfId="0" applyNumberFormat="1" applyFont="1" applyFill="1" applyBorder="1" applyAlignment="1">
      <alignment vertical="center"/>
    </xf>
    <xf numFmtId="3" fontId="40" fillId="5" borderId="2" xfId="0" applyNumberFormat="1" applyFont="1" applyFill="1" applyBorder="1" applyAlignment="1">
      <alignment vertical="center" wrapText="1"/>
    </xf>
    <xf numFmtId="178" fontId="40" fillId="5" borderId="2" xfId="0" applyNumberFormat="1" applyFont="1" applyFill="1" applyBorder="1" applyAlignment="1">
      <alignment vertical="center" wrapText="1"/>
    </xf>
    <xf numFmtId="0" fontId="25" fillId="4" borderId="2" xfId="0" quotePrefix="1" applyFont="1" applyFill="1" applyBorder="1" applyAlignment="1">
      <alignment vertical="center" wrapText="1"/>
    </xf>
    <xf numFmtId="3" fontId="40" fillId="4" borderId="2" xfId="6" applyNumberFormat="1" applyFont="1" applyFill="1" applyBorder="1" applyAlignment="1">
      <alignment vertical="center" wrapText="1"/>
    </xf>
    <xf numFmtId="0" fontId="8" fillId="4" borderId="2" xfId="0" applyNumberFormat="1" applyFont="1" applyFill="1" applyBorder="1" applyAlignment="1">
      <alignment vertical="center" wrapText="1"/>
    </xf>
    <xf numFmtId="3" fontId="40" fillId="4" borderId="2" xfId="0" applyNumberFormat="1" applyFont="1" applyFill="1" applyBorder="1" applyAlignment="1">
      <alignment vertical="top" wrapText="1"/>
    </xf>
    <xf numFmtId="3" fontId="25" fillId="2" borderId="2" xfId="0" applyNumberFormat="1" applyFont="1" applyFill="1" applyBorder="1" applyAlignment="1">
      <alignment vertical="center" wrapText="1"/>
    </xf>
    <xf numFmtId="3" fontId="42" fillId="5" borderId="2" xfId="0" applyNumberFormat="1" applyFont="1" applyFill="1" applyBorder="1" applyAlignment="1">
      <alignment vertical="center" wrapText="1"/>
    </xf>
    <xf numFmtId="0" fontId="31" fillId="4" borderId="2" xfId="0" applyFont="1" applyFill="1" applyBorder="1" applyAlignment="1">
      <alignment horizontal="center" vertical="center"/>
    </xf>
    <xf numFmtId="178" fontId="31" fillId="4" borderId="2" xfId="0" applyNumberFormat="1" applyFont="1" applyFill="1" applyBorder="1" applyAlignment="1">
      <alignment vertical="center"/>
    </xf>
    <xf numFmtId="178" fontId="39" fillId="4" borderId="2" xfId="0" applyNumberFormat="1" applyFont="1" applyFill="1" applyBorder="1" applyAlignment="1">
      <alignment vertical="center"/>
    </xf>
    <xf numFmtId="0" fontId="31" fillId="4" borderId="2" xfId="0" applyFont="1" applyFill="1" applyBorder="1" applyAlignment="1">
      <alignment vertical="center"/>
    </xf>
    <xf numFmtId="3" fontId="42" fillId="4" borderId="2" xfId="0" applyNumberFormat="1" applyFont="1" applyFill="1" applyBorder="1" applyAlignment="1">
      <alignment vertical="center" wrapText="1"/>
    </xf>
    <xf numFmtId="178" fontId="8" fillId="4" borderId="2" xfId="0" applyNumberFormat="1" applyFont="1" applyFill="1" applyBorder="1" applyAlignment="1">
      <alignment vertical="center"/>
    </xf>
    <xf numFmtId="178" fontId="35" fillId="4" borderId="2" xfId="0" applyNumberFormat="1" applyFont="1" applyFill="1" applyBorder="1" applyAlignment="1">
      <alignment vertical="center"/>
    </xf>
    <xf numFmtId="178" fontId="8" fillId="5" borderId="2" xfId="0" applyNumberFormat="1" applyFont="1" applyFill="1" applyBorder="1" applyAlignment="1">
      <alignment vertical="center" wrapText="1"/>
    </xf>
    <xf numFmtId="0" fontId="35" fillId="4" borderId="2" xfId="6" applyFont="1" applyFill="1" applyBorder="1" applyAlignment="1">
      <alignment vertical="center" wrapText="1"/>
    </xf>
    <xf numFmtId="0" fontId="8" fillId="5"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29" fillId="37" borderId="2" xfId="0" applyFont="1" applyFill="1" applyBorder="1" applyAlignment="1">
      <alignment horizontal="left" vertical="center" wrapText="1"/>
    </xf>
    <xf numFmtId="0" fontId="8" fillId="4" borderId="2" xfId="6" applyFont="1" applyFill="1" applyBorder="1" applyAlignment="1">
      <alignment horizontal="left" vertical="center" wrapText="1"/>
    </xf>
    <xf numFmtId="0" fontId="26" fillId="0" borderId="1" xfId="0" applyFont="1" applyBorder="1" applyAlignment="1">
      <alignment horizontal="left"/>
    </xf>
    <xf numFmtId="0" fontId="8" fillId="0" borderId="0" xfId="0" applyFont="1" applyAlignment="1">
      <alignment horizontal="left"/>
    </xf>
    <xf numFmtId="3" fontId="8" fillId="0" borderId="2" xfId="0" applyNumberFormat="1" applyFont="1" applyBorder="1" applyAlignment="1">
      <alignment vertical="center"/>
    </xf>
    <xf numFmtId="178" fontId="8" fillId="0" borderId="2" xfId="0" applyNumberFormat="1" applyFont="1" applyBorder="1" applyAlignment="1">
      <alignment vertical="center"/>
    </xf>
    <xf numFmtId="176" fontId="28" fillId="0" borderId="2" xfId="1" applyNumberFormat="1" applyFont="1" applyBorder="1" applyAlignment="1">
      <alignment horizontal="right" vertical="center"/>
    </xf>
    <xf numFmtId="0" fontId="25" fillId="5" borderId="2" xfId="0" applyFont="1" applyFill="1" applyBorder="1" applyAlignment="1">
      <alignment vertical="center" wrapText="1"/>
    </xf>
    <xf numFmtId="178" fontId="42" fillId="4"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3" fontId="35" fillId="0" borderId="2" xfId="0" applyNumberFormat="1" applyFont="1" applyFill="1" applyBorder="1" applyAlignment="1">
      <alignment vertical="center" wrapText="1"/>
    </xf>
    <xf numFmtId="0" fontId="8" fillId="0" borderId="2" xfId="0" applyFont="1" applyFill="1" applyBorder="1" applyAlignment="1">
      <alignment horizontal="justify" vertical="center" wrapText="1"/>
    </xf>
    <xf numFmtId="0" fontId="8" fillId="0" borderId="2" xfId="0" applyFont="1" applyBorder="1" applyAlignment="1">
      <alignment horizontal="center"/>
    </xf>
    <xf numFmtId="0" fontId="45" fillId="0" borderId="2" xfId="0" applyFont="1" applyBorder="1" applyAlignment="1">
      <alignment horizontal="center" vertical="center"/>
    </xf>
    <xf numFmtId="0" fontId="8" fillId="0" borderId="2" xfId="0" applyFont="1" applyBorder="1" applyAlignment="1">
      <alignment horizontal="center" vertical="center"/>
    </xf>
    <xf numFmtId="0" fontId="33" fillId="4" borderId="2" xfId="0" applyFont="1" applyFill="1" applyBorder="1" applyAlignment="1">
      <alignment vertical="center" wrapText="1"/>
    </xf>
    <xf numFmtId="179" fontId="34" fillId="5" borderId="2" xfId="0" applyNumberFormat="1" applyFont="1" applyFill="1" applyBorder="1" applyAlignment="1">
      <alignment vertical="center" wrapText="1"/>
    </xf>
    <xf numFmtId="179" fontId="41" fillId="0" borderId="2" xfId="0" applyNumberFormat="1" applyFont="1" applyBorder="1" applyAlignment="1">
      <alignment vertical="center" wrapText="1"/>
    </xf>
    <xf numFmtId="0" fontId="34" fillId="4" borderId="2" xfId="0" applyFont="1" applyFill="1" applyBorder="1" applyAlignment="1">
      <alignment vertical="center" wrapText="1"/>
    </xf>
    <xf numFmtId="0" fontId="41" fillId="0" borderId="2" xfId="0" applyFont="1" applyBorder="1" applyAlignment="1">
      <alignment vertical="center" wrapText="1"/>
    </xf>
    <xf numFmtId="0" fontId="0" fillId="0" borderId="2" xfId="0" applyBorder="1" applyAlignment="1">
      <alignment vertical="center" wrapText="1"/>
    </xf>
    <xf numFmtId="0" fontId="34" fillId="5"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26" fillId="4" borderId="2" xfId="0" applyFont="1" applyFill="1" applyBorder="1" applyAlignment="1">
      <alignment horizontal="left" vertical="center" wrapText="1"/>
    </xf>
    <xf numFmtId="0" fontId="26" fillId="0" borderId="2" xfId="0" applyFont="1" applyBorder="1" applyAlignment="1">
      <alignment horizontal="left" vertical="center"/>
    </xf>
    <xf numFmtId="0" fontId="8" fillId="4" borderId="2" xfId="0" applyFont="1" applyFill="1" applyBorder="1" applyAlignment="1">
      <alignment vertical="center" wrapText="1"/>
    </xf>
    <xf numFmtId="0" fontId="8" fillId="0" borderId="2" xfId="0" applyFont="1" applyBorder="1" applyAlignment="1">
      <alignment vertical="center" wrapText="1"/>
    </xf>
    <xf numFmtId="0" fontId="0" fillId="0" borderId="2" xfId="0" applyBorder="1" applyAlignment="1">
      <alignment vertical="center"/>
    </xf>
    <xf numFmtId="0" fontId="8" fillId="0" borderId="2" xfId="0" applyFont="1" applyBorder="1" applyAlignment="1">
      <alignment horizontal="left" vertical="center"/>
    </xf>
    <xf numFmtId="0" fontId="26" fillId="4" borderId="2" xfId="0" applyFont="1" applyFill="1" applyBorder="1" applyAlignment="1">
      <alignment vertical="center" wrapText="1"/>
    </xf>
    <xf numFmtId="0" fontId="26" fillId="0" borderId="2" xfId="0" applyFont="1" applyBorder="1" applyAlignment="1">
      <alignment vertical="center" wrapText="1"/>
    </xf>
    <xf numFmtId="0" fontId="33" fillId="4" borderId="2" xfId="0" applyFont="1" applyFill="1" applyBorder="1" applyAlignment="1">
      <alignment horizontal="left" vertical="center" wrapText="1"/>
    </xf>
    <xf numFmtId="0" fontId="6" fillId="0" borderId="2" xfId="0" applyFont="1" applyBorder="1" applyAlignment="1">
      <alignment vertical="center" wrapText="1"/>
    </xf>
    <xf numFmtId="0" fontId="26" fillId="37" borderId="2" xfId="0" applyFont="1" applyFill="1" applyBorder="1" applyAlignment="1">
      <alignment vertical="center" wrapText="1"/>
    </xf>
    <xf numFmtId="0" fontId="26" fillId="0" borderId="2" xfId="0" applyFont="1" applyBorder="1" applyAlignment="1">
      <alignment vertical="center"/>
    </xf>
    <xf numFmtId="0" fontId="6" fillId="0" borderId="2" xfId="0" applyFont="1" applyBorder="1" applyAlignment="1">
      <alignment vertical="center"/>
    </xf>
    <xf numFmtId="0" fontId="8" fillId="4" borderId="2" xfId="0" applyFont="1" applyFill="1" applyBorder="1" applyAlignment="1">
      <alignment horizontal="left" vertical="center" wrapText="1"/>
    </xf>
    <xf numFmtId="178" fontId="8" fillId="4" borderId="2" xfId="0" applyNumberFormat="1" applyFont="1" applyFill="1" applyBorder="1" applyAlignment="1">
      <alignment vertical="center" wrapText="1"/>
    </xf>
    <xf numFmtId="0" fontId="25" fillId="4" borderId="2" xfId="0" applyFont="1" applyFill="1" applyBorder="1" applyAlignment="1">
      <alignment vertical="center" wrapText="1"/>
    </xf>
    <xf numFmtId="0" fontId="25" fillId="0" borderId="2" xfId="0" applyFont="1" applyBorder="1" applyAlignment="1">
      <alignment vertical="center" wrapText="1"/>
    </xf>
    <xf numFmtId="0" fontId="26"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26" fillId="2" borderId="2" xfId="0" applyFont="1" applyFill="1" applyBorder="1" applyAlignment="1">
      <alignment vertical="center" wrapText="1"/>
    </xf>
    <xf numFmtId="0" fontId="8" fillId="4" borderId="2" xfId="6" applyFont="1" applyFill="1" applyBorder="1" applyAlignment="1">
      <alignment vertical="center" wrapText="1"/>
    </xf>
    <xf numFmtId="0" fontId="32" fillId="4" borderId="2" xfId="0" applyFont="1" applyFill="1" applyBorder="1" applyAlignment="1">
      <alignment horizontal="left" vertical="center" wrapText="1"/>
    </xf>
    <xf numFmtId="0" fontId="44" fillId="4" borderId="2"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vertical="center" wrapText="1"/>
    </xf>
    <xf numFmtId="0" fontId="26" fillId="4" borderId="2" xfId="6" applyFont="1" applyFill="1" applyBorder="1" applyAlignment="1">
      <alignment horizontal="left" vertical="center" wrapText="1"/>
    </xf>
    <xf numFmtId="0" fontId="8" fillId="4" borderId="2" xfId="6" applyFont="1" applyFill="1" applyBorder="1" applyAlignment="1">
      <alignment horizontal="center" vertical="center" wrapText="1"/>
    </xf>
  </cellXfs>
  <cellStyles count="44">
    <cellStyle name="20% - 輔色1 2" xfId="21"/>
    <cellStyle name="20% - 輔色2 2" xfId="25"/>
    <cellStyle name="20% - 輔色3 2" xfId="29"/>
    <cellStyle name="20% - 輔色4 2" xfId="33"/>
    <cellStyle name="20% - 輔色5 2" xfId="37"/>
    <cellStyle name="20% - 輔色6 2" xfId="41"/>
    <cellStyle name="40% - 輔色1 2" xfId="22"/>
    <cellStyle name="40% - 輔色2 2" xfId="26"/>
    <cellStyle name="40% - 輔色3 2" xfId="30"/>
    <cellStyle name="40% - 輔色4 2" xfId="34"/>
    <cellStyle name="40% - 輔色5 2" xfId="38"/>
    <cellStyle name="40% - 輔色6 2" xfId="42"/>
    <cellStyle name="60% - 輔色1 2" xfId="23"/>
    <cellStyle name="60% - 輔色2 2" xfId="27"/>
    <cellStyle name="60% - 輔色3 2" xfId="31"/>
    <cellStyle name="60% - 輔色4 2" xfId="35"/>
    <cellStyle name="60% - 輔色5 2" xfId="39"/>
    <cellStyle name="60% - 輔色6 2" xfId="43"/>
    <cellStyle name="一般" xfId="0" builtinId="0"/>
    <cellStyle name="一般 2" xfId="6"/>
    <cellStyle name="千分位" xfId="1" builtinId="3"/>
    <cellStyle name="中等 2" xfId="14"/>
    <cellStyle name="合計 2" xfId="19"/>
    <cellStyle name="好 2" xfId="12"/>
    <cellStyle name="計算方式" xfId="4" builtinId="22" customBuiltin="1"/>
    <cellStyle name="連結的儲存格 2" xfId="15"/>
    <cellStyle name="備註 2" xfId="17"/>
    <cellStyle name="說明文字 2" xfId="18"/>
    <cellStyle name="輔色1 2" xfId="20"/>
    <cellStyle name="輔色2 2" xfId="24"/>
    <cellStyle name="輔色3 2" xfId="28"/>
    <cellStyle name="輔色4 2" xfId="32"/>
    <cellStyle name="輔色5 2" xfId="36"/>
    <cellStyle name="輔色6 2" xfId="40"/>
    <cellStyle name="標題 1 2" xfId="8"/>
    <cellStyle name="標題 2 2" xfId="9"/>
    <cellStyle name="標題 3 2" xfId="10"/>
    <cellStyle name="標題 4 2" xfId="11"/>
    <cellStyle name="標題 5" xfId="7"/>
    <cellStyle name="輸入" xfId="2" builtinId="20" customBuiltin="1"/>
    <cellStyle name="輸出" xfId="3" builtinId="21" customBuiltin="1"/>
    <cellStyle name="檢查儲存格" xfId="5" builtinId="23" customBuiltin="1"/>
    <cellStyle name="壞 2" xfId="13"/>
    <cellStyle name="警告文字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28"/>
  <sheetViews>
    <sheetView tabSelected="1" view="pageBreakPreview" zoomScale="85" zoomScaleNormal="100" zoomScaleSheetLayoutView="85" workbookViewId="0">
      <selection activeCell="L4" sqref="L4"/>
    </sheetView>
  </sheetViews>
  <sheetFormatPr defaultRowHeight="15.75" x14ac:dyDescent="0.25"/>
  <cols>
    <col min="1" max="1" width="5.140625" style="97" customWidth="1"/>
    <col min="2" max="2" width="30.5703125" style="6" customWidth="1"/>
    <col min="3" max="3" width="10.140625" style="97" customWidth="1"/>
    <col min="4" max="4" width="11.42578125" style="7" customWidth="1"/>
    <col min="5" max="5" width="11.7109375" style="12" customWidth="1"/>
    <col min="6" max="6" width="5.140625" style="97" customWidth="1"/>
    <col min="7" max="7" width="35.5703125" style="6" customWidth="1"/>
    <col min="8" max="8" width="10.28515625" style="6" customWidth="1"/>
    <col min="9" max="10" width="10.5703125" style="6" customWidth="1"/>
    <col min="11" max="11" width="16.85546875" style="13" customWidth="1"/>
  </cols>
  <sheetData>
    <row r="1" spans="1:11" x14ac:dyDescent="0.25">
      <c r="A1" s="135" t="s">
        <v>5857</v>
      </c>
      <c r="B1" s="135"/>
      <c r="C1" s="135"/>
      <c r="D1" s="135"/>
      <c r="E1" s="135"/>
      <c r="F1" s="145" t="s">
        <v>7</v>
      </c>
      <c r="G1" s="145" t="s">
        <v>8</v>
      </c>
      <c r="H1" s="145" t="s">
        <v>5856</v>
      </c>
      <c r="I1" s="135" t="s">
        <v>5855</v>
      </c>
      <c r="J1" s="135"/>
      <c r="K1" s="145" t="s">
        <v>1</v>
      </c>
    </row>
    <row r="2" spans="1:11" ht="28.5" x14ac:dyDescent="0.25">
      <c r="A2" s="88" t="s">
        <v>5854</v>
      </c>
      <c r="B2" s="88" t="s">
        <v>3</v>
      </c>
      <c r="C2" s="88" t="s">
        <v>4</v>
      </c>
      <c r="D2" s="14" t="s">
        <v>5</v>
      </c>
      <c r="E2" s="14" t="s">
        <v>5858</v>
      </c>
      <c r="F2" s="145"/>
      <c r="G2" s="145"/>
      <c r="H2" s="145"/>
      <c r="I2" s="88" t="s">
        <v>9</v>
      </c>
      <c r="J2" s="88" t="s">
        <v>10</v>
      </c>
      <c r="K2" s="145"/>
    </row>
    <row r="3" spans="1:11" ht="85.5" x14ac:dyDescent="0.25">
      <c r="A3" s="131">
        <v>108</v>
      </c>
      <c r="B3" s="132" t="s">
        <v>3220</v>
      </c>
      <c r="C3" s="131" t="s">
        <v>0</v>
      </c>
      <c r="D3" s="132"/>
      <c r="E3" s="133">
        <v>94336</v>
      </c>
      <c r="F3" s="131">
        <v>4</v>
      </c>
      <c r="G3" s="134" t="s">
        <v>3226</v>
      </c>
      <c r="H3" s="132" t="s">
        <v>1853</v>
      </c>
      <c r="I3" s="132" t="s">
        <v>32</v>
      </c>
      <c r="J3" s="132" t="s">
        <v>47</v>
      </c>
      <c r="K3" s="132" t="str">
        <f>"00049127"</f>
        <v>00049127</v>
      </c>
    </row>
    <row r="4" spans="1:11" ht="85.5" x14ac:dyDescent="0.25">
      <c r="A4" s="88">
        <v>108</v>
      </c>
      <c r="B4" s="132" t="s">
        <v>6759</v>
      </c>
      <c r="C4" s="88" t="s">
        <v>0</v>
      </c>
      <c r="D4" s="89"/>
      <c r="E4" s="91">
        <v>124634</v>
      </c>
      <c r="F4" s="88">
        <v>4</v>
      </c>
      <c r="G4" s="78" t="s">
        <v>3226</v>
      </c>
      <c r="H4" s="89" t="s">
        <v>1467</v>
      </c>
      <c r="I4" s="89" t="s">
        <v>32</v>
      </c>
      <c r="J4" s="89" t="s">
        <v>47</v>
      </c>
      <c r="K4" s="132" t="str">
        <f>"00049143"</f>
        <v>00049143</v>
      </c>
    </row>
    <row r="5" spans="1:11" ht="85.5" x14ac:dyDescent="0.25">
      <c r="A5" s="88">
        <v>108</v>
      </c>
      <c r="B5" s="132" t="s">
        <v>6760</v>
      </c>
      <c r="C5" s="88" t="s">
        <v>0</v>
      </c>
      <c r="D5" s="89"/>
      <c r="E5" s="91">
        <v>36653</v>
      </c>
      <c r="F5" s="88">
        <v>4</v>
      </c>
      <c r="G5" s="78" t="s">
        <v>3226</v>
      </c>
      <c r="H5" s="89" t="s">
        <v>1853</v>
      </c>
      <c r="I5" s="89" t="s">
        <v>32</v>
      </c>
      <c r="J5" s="89" t="s">
        <v>47</v>
      </c>
      <c r="K5" s="132" t="str">
        <f>"00049127"</f>
        <v>00049127</v>
      </c>
    </row>
    <row r="6" spans="1:11" ht="71.25" x14ac:dyDescent="0.25">
      <c r="A6" s="88">
        <v>108</v>
      </c>
      <c r="B6" s="132" t="s">
        <v>6760</v>
      </c>
      <c r="C6" s="88" t="s">
        <v>0</v>
      </c>
      <c r="D6" s="89"/>
      <c r="E6" s="91">
        <v>122158</v>
      </c>
      <c r="F6" s="88">
        <v>4</v>
      </c>
      <c r="G6" s="78" t="s">
        <v>3221</v>
      </c>
      <c r="H6" s="89" t="s">
        <v>3223</v>
      </c>
      <c r="I6" s="89" t="s">
        <v>66</v>
      </c>
      <c r="J6" s="89" t="s">
        <v>609</v>
      </c>
      <c r="K6" s="89" t="str">
        <f>"00051940"</f>
        <v>00051940</v>
      </c>
    </row>
    <row r="7" spans="1:11" ht="71.25" x14ac:dyDescent="0.25">
      <c r="A7" s="88">
        <v>108</v>
      </c>
      <c r="B7" s="132" t="s">
        <v>6760</v>
      </c>
      <c r="C7" s="88" t="s">
        <v>0</v>
      </c>
      <c r="D7" s="89"/>
      <c r="E7" s="91">
        <v>122680</v>
      </c>
      <c r="F7" s="88">
        <v>4</v>
      </c>
      <c r="G7" s="78" t="s">
        <v>3221</v>
      </c>
      <c r="H7" s="89" t="s">
        <v>3224</v>
      </c>
      <c r="I7" s="89" t="s">
        <v>66</v>
      </c>
      <c r="J7" s="89" t="s">
        <v>3225</v>
      </c>
      <c r="K7" s="89" t="str">
        <f>"00051954"</f>
        <v>00051954</v>
      </c>
    </row>
    <row r="8" spans="1:11" ht="71.25" x14ac:dyDescent="0.25">
      <c r="A8" s="88">
        <v>108</v>
      </c>
      <c r="B8" s="132" t="s">
        <v>6760</v>
      </c>
      <c r="C8" s="88" t="s">
        <v>0</v>
      </c>
      <c r="D8" s="89"/>
      <c r="E8" s="91">
        <v>115562</v>
      </c>
      <c r="F8" s="88">
        <v>4</v>
      </c>
      <c r="G8" s="78" t="s">
        <v>3221</v>
      </c>
      <c r="H8" s="89" t="s">
        <v>3222</v>
      </c>
      <c r="I8" s="89" t="s">
        <v>66</v>
      </c>
      <c r="J8" s="89" t="s">
        <v>609</v>
      </c>
      <c r="K8" s="89" t="str">
        <f>"00051901"</f>
        <v>00051901</v>
      </c>
    </row>
    <row r="9" spans="1:11" ht="28.5" x14ac:dyDescent="0.25">
      <c r="A9" s="88">
        <v>108</v>
      </c>
      <c r="B9" s="89" t="s">
        <v>26</v>
      </c>
      <c r="C9" s="88" t="s">
        <v>0</v>
      </c>
      <c r="D9" s="95">
        <v>59866</v>
      </c>
      <c r="E9" s="90"/>
      <c r="F9" s="88">
        <v>4</v>
      </c>
      <c r="G9" s="89" t="s">
        <v>27</v>
      </c>
      <c r="H9" s="89"/>
      <c r="I9" s="89" t="s">
        <v>14</v>
      </c>
      <c r="J9" s="89"/>
      <c r="K9" s="89" t="str">
        <f>"　"</f>
        <v>　</v>
      </c>
    </row>
    <row r="10" spans="1:11" ht="42.75" x14ac:dyDescent="0.25">
      <c r="A10" s="88">
        <v>108</v>
      </c>
      <c r="B10" s="89" t="s">
        <v>26</v>
      </c>
      <c r="C10" s="88" t="s">
        <v>0</v>
      </c>
      <c r="D10" s="95"/>
      <c r="E10" s="90">
        <v>27428</v>
      </c>
      <c r="F10" s="88">
        <v>4</v>
      </c>
      <c r="G10" s="78" t="s">
        <v>4757</v>
      </c>
      <c r="H10" s="89" t="s">
        <v>866</v>
      </c>
      <c r="I10" s="89" t="s">
        <v>66</v>
      </c>
      <c r="J10" s="89" t="s">
        <v>4758</v>
      </c>
      <c r="K10" s="89" t="str">
        <f>"00048824"</f>
        <v>00048824</v>
      </c>
    </row>
    <row r="11" spans="1:11" ht="28.5" x14ac:dyDescent="0.25">
      <c r="A11" s="88">
        <v>108</v>
      </c>
      <c r="B11" s="89" t="s">
        <v>26</v>
      </c>
      <c r="C11" s="88" t="s">
        <v>0</v>
      </c>
      <c r="D11" s="95">
        <v>390000</v>
      </c>
      <c r="E11" s="90"/>
      <c r="F11" s="88">
        <v>4</v>
      </c>
      <c r="G11" s="89" t="s">
        <v>27</v>
      </c>
      <c r="H11" s="89"/>
      <c r="I11" s="89" t="s">
        <v>14</v>
      </c>
      <c r="J11" s="89"/>
      <c r="K11" s="89" t="str">
        <f>"　"</f>
        <v>　</v>
      </c>
    </row>
    <row r="12" spans="1:11" ht="99.75" x14ac:dyDescent="0.25">
      <c r="A12" s="88">
        <v>108</v>
      </c>
      <c r="B12" s="89" t="s">
        <v>26</v>
      </c>
      <c r="C12" s="88" t="s">
        <v>0</v>
      </c>
      <c r="D12" s="95"/>
      <c r="E12" s="90">
        <v>168891</v>
      </c>
      <c r="F12" s="88">
        <v>4</v>
      </c>
      <c r="G12" s="78" t="s">
        <v>4759</v>
      </c>
      <c r="H12" s="89" t="s">
        <v>4620</v>
      </c>
      <c r="I12" s="89" t="s">
        <v>4760</v>
      </c>
      <c r="J12" s="89" t="s">
        <v>4761</v>
      </c>
      <c r="K12" s="89" t="str">
        <f>"00053155"</f>
        <v>00053155</v>
      </c>
    </row>
    <row r="13" spans="1:11" ht="28.5" x14ac:dyDescent="0.25">
      <c r="A13" s="88">
        <v>108</v>
      </c>
      <c r="B13" s="89" t="s">
        <v>26</v>
      </c>
      <c r="C13" s="88" t="s">
        <v>0</v>
      </c>
      <c r="D13" s="95">
        <v>95460</v>
      </c>
      <c r="E13" s="90"/>
      <c r="F13" s="88">
        <v>4</v>
      </c>
      <c r="G13" s="89" t="s">
        <v>27</v>
      </c>
      <c r="H13" s="89"/>
      <c r="I13" s="89" t="s">
        <v>14</v>
      </c>
      <c r="J13" s="89"/>
      <c r="K13" s="89" t="str">
        <f>"　"</f>
        <v>　</v>
      </c>
    </row>
    <row r="14" spans="1:11" ht="128.25" x14ac:dyDescent="0.25">
      <c r="A14" s="88">
        <v>108</v>
      </c>
      <c r="B14" s="89" t="s">
        <v>26</v>
      </c>
      <c r="C14" s="88" t="s">
        <v>0</v>
      </c>
      <c r="D14" s="95"/>
      <c r="E14" s="90">
        <v>23137</v>
      </c>
      <c r="F14" s="88">
        <v>4</v>
      </c>
      <c r="G14" s="78" t="s">
        <v>4762</v>
      </c>
      <c r="H14" s="89" t="s">
        <v>4763</v>
      </c>
      <c r="I14" s="89" t="s">
        <v>66</v>
      </c>
      <c r="J14" s="89" t="s">
        <v>4758</v>
      </c>
      <c r="K14" s="89" t="str">
        <f>"00048201"</f>
        <v>00048201</v>
      </c>
    </row>
    <row r="15" spans="1:11" ht="156.75" x14ac:dyDescent="0.25">
      <c r="A15" s="88">
        <v>108</v>
      </c>
      <c r="B15" s="89" t="s">
        <v>26</v>
      </c>
      <c r="C15" s="88" t="s">
        <v>0</v>
      </c>
      <c r="D15" s="95"/>
      <c r="E15" s="90">
        <v>23939</v>
      </c>
      <c r="F15" s="88">
        <v>4</v>
      </c>
      <c r="G15" s="78" t="s">
        <v>4764</v>
      </c>
      <c r="H15" s="89" t="s">
        <v>4763</v>
      </c>
      <c r="I15" s="89" t="s">
        <v>66</v>
      </c>
      <c r="J15" s="89" t="s">
        <v>4758</v>
      </c>
      <c r="K15" s="89" t="str">
        <f>"00048776"</f>
        <v>00048776</v>
      </c>
    </row>
    <row r="16" spans="1:11" ht="99.75" x14ac:dyDescent="0.25">
      <c r="A16" s="88">
        <v>108</v>
      </c>
      <c r="B16" s="89" t="s">
        <v>26</v>
      </c>
      <c r="C16" s="88" t="s">
        <v>0</v>
      </c>
      <c r="D16" s="95"/>
      <c r="E16" s="90">
        <v>24545</v>
      </c>
      <c r="F16" s="88">
        <v>4</v>
      </c>
      <c r="G16" s="78" t="s">
        <v>4765</v>
      </c>
      <c r="H16" s="89" t="s">
        <v>4763</v>
      </c>
      <c r="I16" s="89" t="s">
        <v>66</v>
      </c>
      <c r="J16" s="89" t="s">
        <v>4758</v>
      </c>
      <c r="K16" s="89" t="str">
        <f>"00048673"</f>
        <v>00048673</v>
      </c>
    </row>
    <row r="17" spans="1:11" ht="28.5" x14ac:dyDescent="0.25">
      <c r="A17" s="88">
        <v>108</v>
      </c>
      <c r="B17" s="89" t="s">
        <v>26</v>
      </c>
      <c r="C17" s="88" t="s">
        <v>0</v>
      </c>
      <c r="D17" s="95">
        <v>174064</v>
      </c>
      <c r="E17" s="90"/>
      <c r="F17" s="88">
        <v>4</v>
      </c>
      <c r="G17" s="89" t="s">
        <v>27</v>
      </c>
      <c r="H17" s="89"/>
      <c r="I17" s="89" t="s">
        <v>14</v>
      </c>
      <c r="J17" s="89"/>
      <c r="K17" s="89" t="str">
        <f>"　"</f>
        <v>　</v>
      </c>
    </row>
    <row r="18" spans="1:11" ht="114" x14ac:dyDescent="0.25">
      <c r="A18" s="88">
        <v>108</v>
      </c>
      <c r="B18" s="89" t="s">
        <v>26</v>
      </c>
      <c r="C18" s="88" t="s">
        <v>0</v>
      </c>
      <c r="D18" s="95"/>
      <c r="E18" s="90">
        <v>165027</v>
      </c>
      <c r="F18" s="88">
        <v>4</v>
      </c>
      <c r="G18" s="89" t="s">
        <v>4766</v>
      </c>
      <c r="H18" s="89" t="s">
        <v>4767</v>
      </c>
      <c r="I18" s="89" t="s">
        <v>32</v>
      </c>
      <c r="J18" s="89" t="s">
        <v>4768</v>
      </c>
      <c r="K18" s="89" t="str">
        <f>"00053089"</f>
        <v>00053089</v>
      </c>
    </row>
    <row r="19" spans="1:11" ht="28.5" x14ac:dyDescent="0.25">
      <c r="A19" s="88">
        <v>108</v>
      </c>
      <c r="B19" s="89" t="s">
        <v>26</v>
      </c>
      <c r="C19" s="88" t="s">
        <v>0</v>
      </c>
      <c r="D19" s="95">
        <v>95000</v>
      </c>
      <c r="E19" s="90"/>
      <c r="F19" s="88">
        <v>4</v>
      </c>
      <c r="G19" s="89" t="s">
        <v>27</v>
      </c>
      <c r="H19" s="89"/>
      <c r="I19" s="89" t="s">
        <v>14</v>
      </c>
      <c r="J19" s="89"/>
      <c r="K19" s="89" t="str">
        <f>"　"</f>
        <v>　</v>
      </c>
    </row>
    <row r="20" spans="1:11" ht="28.5" x14ac:dyDescent="0.25">
      <c r="A20" s="88">
        <v>108</v>
      </c>
      <c r="B20" s="89" t="s">
        <v>12</v>
      </c>
      <c r="C20" s="88" t="s">
        <v>0</v>
      </c>
      <c r="D20" s="90">
        <v>75400000</v>
      </c>
      <c r="E20" s="90"/>
      <c r="F20" s="88">
        <v>4</v>
      </c>
      <c r="G20" s="89" t="s">
        <v>52</v>
      </c>
      <c r="H20" s="89"/>
      <c r="I20" s="89" t="s">
        <v>53</v>
      </c>
      <c r="J20" s="89"/>
      <c r="K20" s="89" t="str">
        <f>"　"</f>
        <v>　</v>
      </c>
    </row>
    <row r="21" spans="1:11" ht="85.5" x14ac:dyDescent="0.25">
      <c r="A21" s="88">
        <v>108</v>
      </c>
      <c r="B21" s="89" t="s">
        <v>26</v>
      </c>
      <c r="C21" s="88" t="s">
        <v>0</v>
      </c>
      <c r="D21" s="89"/>
      <c r="E21" s="91">
        <v>27011</v>
      </c>
      <c r="F21" s="88">
        <v>4</v>
      </c>
      <c r="G21" s="89" t="s">
        <v>5355</v>
      </c>
      <c r="H21" s="89" t="s">
        <v>866</v>
      </c>
      <c r="I21" s="89" t="s">
        <v>66</v>
      </c>
      <c r="J21" s="89" t="s">
        <v>4758</v>
      </c>
      <c r="K21" s="89" t="str">
        <f>"00053091"</f>
        <v>00053091</v>
      </c>
    </row>
    <row r="22" spans="1:11" ht="28.5" x14ac:dyDescent="0.25">
      <c r="A22" s="88">
        <v>108</v>
      </c>
      <c r="B22" s="89" t="s">
        <v>12</v>
      </c>
      <c r="C22" s="88" t="s">
        <v>0</v>
      </c>
      <c r="D22" s="90">
        <v>75400000</v>
      </c>
      <c r="E22" s="90"/>
      <c r="F22" s="88">
        <v>4</v>
      </c>
      <c r="G22" s="89" t="s">
        <v>52</v>
      </c>
      <c r="H22" s="89"/>
      <c r="I22" s="89" t="s">
        <v>53</v>
      </c>
      <c r="J22" s="89"/>
      <c r="K22" s="89" t="str">
        <f>"　"</f>
        <v>　</v>
      </c>
    </row>
    <row r="23" spans="1:11" ht="42.75" x14ac:dyDescent="0.25">
      <c r="A23" s="88">
        <v>108</v>
      </c>
      <c r="B23" s="89" t="s">
        <v>58</v>
      </c>
      <c r="C23" s="88" t="s">
        <v>0</v>
      </c>
      <c r="D23" s="95"/>
      <c r="E23" s="90">
        <v>46951</v>
      </c>
      <c r="F23" s="88">
        <v>4</v>
      </c>
      <c r="G23" s="89" t="s">
        <v>59</v>
      </c>
      <c r="H23" s="89" t="s">
        <v>60</v>
      </c>
      <c r="I23" s="89" t="s">
        <v>61</v>
      </c>
      <c r="J23" s="89" t="s">
        <v>62</v>
      </c>
      <c r="K23" s="89" t="str">
        <f>"00048050"</f>
        <v>00048050</v>
      </c>
    </row>
    <row r="24" spans="1:11" ht="42.75" x14ac:dyDescent="0.25">
      <c r="A24" s="88">
        <v>108</v>
      </c>
      <c r="B24" s="89" t="s">
        <v>54</v>
      </c>
      <c r="C24" s="88" t="s">
        <v>0</v>
      </c>
      <c r="D24" s="95"/>
      <c r="E24" s="90">
        <v>51771</v>
      </c>
      <c r="F24" s="88">
        <v>4</v>
      </c>
      <c r="G24" s="89" t="s">
        <v>55</v>
      </c>
      <c r="H24" s="89" t="s">
        <v>56</v>
      </c>
      <c r="I24" s="89" t="s">
        <v>32</v>
      </c>
      <c r="J24" s="89" t="s">
        <v>57</v>
      </c>
      <c r="K24" s="89" t="str">
        <f>"00047592"</f>
        <v>00047592</v>
      </c>
    </row>
    <row r="25" spans="1:11" ht="42.75" x14ac:dyDescent="0.25">
      <c r="A25" s="88">
        <v>108</v>
      </c>
      <c r="B25" s="89" t="s">
        <v>77</v>
      </c>
      <c r="C25" s="88" t="s">
        <v>0</v>
      </c>
      <c r="D25" s="95"/>
      <c r="E25" s="90">
        <v>33978</v>
      </c>
      <c r="F25" s="88">
        <v>4</v>
      </c>
      <c r="G25" s="89" t="s">
        <v>78</v>
      </c>
      <c r="H25" s="89" t="s">
        <v>79</v>
      </c>
      <c r="I25" s="89" t="s">
        <v>80</v>
      </c>
      <c r="J25" s="89" t="s">
        <v>80</v>
      </c>
      <c r="K25" s="89" t="str">
        <f>"00046790"</f>
        <v>00046790</v>
      </c>
    </row>
    <row r="26" spans="1:11" ht="57" x14ac:dyDescent="0.25">
      <c r="A26" s="88">
        <v>108</v>
      </c>
      <c r="B26" s="89" t="s">
        <v>54</v>
      </c>
      <c r="C26" s="88" t="s">
        <v>0</v>
      </c>
      <c r="D26" s="95"/>
      <c r="E26" s="90">
        <v>42730</v>
      </c>
      <c r="F26" s="88">
        <v>4</v>
      </c>
      <c r="G26" s="89" t="s">
        <v>1490</v>
      </c>
      <c r="H26" s="89" t="s">
        <v>1491</v>
      </c>
      <c r="I26" s="89" t="s">
        <v>106</v>
      </c>
      <c r="J26" s="89" t="s">
        <v>1492</v>
      </c>
      <c r="K26" s="89" t="str">
        <f>"00048288"</f>
        <v>00048288</v>
      </c>
    </row>
    <row r="27" spans="1:11" ht="114" x14ac:dyDescent="0.25">
      <c r="A27" s="88">
        <v>108</v>
      </c>
      <c r="B27" s="89" t="s">
        <v>1493</v>
      </c>
      <c r="C27" s="88" t="s">
        <v>0</v>
      </c>
      <c r="D27" s="95"/>
      <c r="E27" s="90">
        <v>31959</v>
      </c>
      <c r="F27" s="88">
        <v>4</v>
      </c>
      <c r="G27" s="89" t="s">
        <v>4752</v>
      </c>
      <c r="H27" s="89" t="s">
        <v>1494</v>
      </c>
      <c r="I27" s="89" t="s">
        <v>156</v>
      </c>
      <c r="J27" s="89" t="s">
        <v>5685</v>
      </c>
      <c r="K27" s="89" t="str">
        <f>"00048051"</f>
        <v>00048051</v>
      </c>
    </row>
    <row r="28" spans="1:11" ht="57" x14ac:dyDescent="0.25">
      <c r="A28" s="88">
        <v>108</v>
      </c>
      <c r="B28" s="89" t="s">
        <v>73</v>
      </c>
      <c r="C28" s="88" t="s">
        <v>0</v>
      </c>
      <c r="D28" s="95"/>
      <c r="E28" s="90">
        <v>30492</v>
      </c>
      <c r="F28" s="88">
        <v>4</v>
      </c>
      <c r="G28" s="89" t="s">
        <v>1495</v>
      </c>
      <c r="H28" s="89" t="s">
        <v>1496</v>
      </c>
      <c r="I28" s="89" t="s">
        <v>94</v>
      </c>
      <c r="J28" s="89" t="s">
        <v>1497</v>
      </c>
      <c r="K28" s="89" t="str">
        <f>"00048289"</f>
        <v>00048289</v>
      </c>
    </row>
    <row r="29" spans="1:11" ht="42.75" x14ac:dyDescent="0.25">
      <c r="A29" s="88">
        <v>108</v>
      </c>
      <c r="B29" s="89" t="s">
        <v>63</v>
      </c>
      <c r="C29" s="88" t="s">
        <v>0</v>
      </c>
      <c r="D29" s="95"/>
      <c r="E29" s="90">
        <v>179</v>
      </c>
      <c r="F29" s="88">
        <v>4</v>
      </c>
      <c r="G29" s="89" t="s">
        <v>64</v>
      </c>
      <c r="H29" s="89" t="s">
        <v>65</v>
      </c>
      <c r="I29" s="89" t="s">
        <v>66</v>
      </c>
      <c r="J29" s="89" t="s">
        <v>67</v>
      </c>
      <c r="K29" s="89" t="str">
        <f>"00046985"</f>
        <v>00046985</v>
      </c>
    </row>
    <row r="30" spans="1:11" ht="42.75" x14ac:dyDescent="0.25">
      <c r="A30" s="88">
        <v>108</v>
      </c>
      <c r="B30" s="89" t="s">
        <v>58</v>
      </c>
      <c r="C30" s="88" t="s">
        <v>0</v>
      </c>
      <c r="D30" s="95"/>
      <c r="E30" s="90">
        <v>34160</v>
      </c>
      <c r="F30" s="88">
        <v>4</v>
      </c>
      <c r="G30" s="89" t="s">
        <v>1488</v>
      </c>
      <c r="H30" s="89" t="s">
        <v>1489</v>
      </c>
      <c r="I30" s="89" t="s">
        <v>80</v>
      </c>
      <c r="J30" s="89" t="s">
        <v>80</v>
      </c>
      <c r="K30" s="89" t="str">
        <f>"00048801"</f>
        <v>00048801</v>
      </c>
    </row>
    <row r="31" spans="1:11" ht="57" x14ac:dyDescent="0.25">
      <c r="A31" s="88">
        <v>108</v>
      </c>
      <c r="B31" s="89" t="s">
        <v>63</v>
      </c>
      <c r="C31" s="88" t="s">
        <v>0</v>
      </c>
      <c r="D31" s="95"/>
      <c r="E31" s="90">
        <v>58804</v>
      </c>
      <c r="F31" s="88">
        <v>4</v>
      </c>
      <c r="G31" s="89" t="s">
        <v>1501</v>
      </c>
      <c r="H31" s="89" t="s">
        <v>1502</v>
      </c>
      <c r="I31" s="89" t="s">
        <v>32</v>
      </c>
      <c r="J31" s="89" t="s">
        <v>1503</v>
      </c>
      <c r="K31" s="89" t="str">
        <f>"00050023"</f>
        <v>00050023</v>
      </c>
    </row>
    <row r="32" spans="1:11" ht="99.75" x14ac:dyDescent="0.25">
      <c r="A32" s="88">
        <v>108</v>
      </c>
      <c r="B32" s="89" t="s">
        <v>63</v>
      </c>
      <c r="C32" s="88" t="s">
        <v>0</v>
      </c>
      <c r="D32" s="95"/>
      <c r="E32" s="90">
        <v>164984</v>
      </c>
      <c r="F32" s="88">
        <v>4</v>
      </c>
      <c r="G32" s="89" t="s">
        <v>4753</v>
      </c>
      <c r="H32" s="89" t="s">
        <v>1498</v>
      </c>
      <c r="I32" s="89" t="s">
        <v>1499</v>
      </c>
      <c r="J32" s="89" t="s">
        <v>1500</v>
      </c>
      <c r="K32" s="89" t="str">
        <f>"00048797"</f>
        <v>00048797</v>
      </c>
    </row>
    <row r="33" spans="1:11" ht="42.75" x14ac:dyDescent="0.25">
      <c r="A33" s="88">
        <v>108</v>
      </c>
      <c r="B33" s="89" t="s">
        <v>1481</v>
      </c>
      <c r="C33" s="88" t="s">
        <v>0</v>
      </c>
      <c r="D33" s="95"/>
      <c r="E33" s="90">
        <v>78411</v>
      </c>
      <c r="F33" s="88">
        <v>4</v>
      </c>
      <c r="G33" s="89" t="s">
        <v>4754</v>
      </c>
      <c r="H33" s="89" t="s">
        <v>1482</v>
      </c>
      <c r="I33" s="89" t="s">
        <v>106</v>
      </c>
      <c r="J33" s="89" t="s">
        <v>1483</v>
      </c>
      <c r="K33" s="89" t="str">
        <f>"00049557"</f>
        <v>00049557</v>
      </c>
    </row>
    <row r="34" spans="1:11" ht="57" x14ac:dyDescent="0.25">
      <c r="A34" s="88">
        <v>108</v>
      </c>
      <c r="B34" s="89" t="s">
        <v>77</v>
      </c>
      <c r="C34" s="88" t="s">
        <v>0</v>
      </c>
      <c r="D34" s="95"/>
      <c r="E34" s="90">
        <v>39832</v>
      </c>
      <c r="F34" s="88">
        <v>4</v>
      </c>
      <c r="G34" s="89" t="s">
        <v>1484</v>
      </c>
      <c r="H34" s="89" t="s">
        <v>1485</v>
      </c>
      <c r="I34" s="89" t="s">
        <v>1486</v>
      </c>
      <c r="J34" s="89" t="s">
        <v>1487</v>
      </c>
      <c r="K34" s="89" t="str">
        <f>"00048330"</f>
        <v>00048330</v>
      </c>
    </row>
    <row r="35" spans="1:11" ht="57" x14ac:dyDescent="0.25">
      <c r="A35" s="88">
        <v>108</v>
      </c>
      <c r="B35" s="89" t="s">
        <v>1473</v>
      </c>
      <c r="C35" s="88" t="s">
        <v>0</v>
      </c>
      <c r="D35" s="95"/>
      <c r="E35" s="90">
        <v>160505</v>
      </c>
      <c r="F35" s="88">
        <v>4</v>
      </c>
      <c r="G35" s="89" t="s">
        <v>1474</v>
      </c>
      <c r="H35" s="89" t="s">
        <v>1475</v>
      </c>
      <c r="I35" s="89" t="s">
        <v>1476</v>
      </c>
      <c r="J35" s="89" t="s">
        <v>1477</v>
      </c>
      <c r="K35" s="89" t="str">
        <f>"00049694"</f>
        <v>00049694</v>
      </c>
    </row>
    <row r="36" spans="1:11" ht="57" x14ac:dyDescent="0.25">
      <c r="A36" s="88">
        <v>108</v>
      </c>
      <c r="B36" s="89" t="s">
        <v>1470</v>
      </c>
      <c r="C36" s="88" t="s">
        <v>0</v>
      </c>
      <c r="D36" s="95"/>
      <c r="E36" s="90">
        <v>104975</v>
      </c>
      <c r="F36" s="88">
        <v>4</v>
      </c>
      <c r="G36" s="89" t="s">
        <v>4755</v>
      </c>
      <c r="H36" s="89" t="s">
        <v>1471</v>
      </c>
      <c r="I36" s="89" t="s">
        <v>66</v>
      </c>
      <c r="J36" s="89" t="s">
        <v>1472</v>
      </c>
      <c r="K36" s="89" t="str">
        <f>"00049470"</f>
        <v>00049470</v>
      </c>
    </row>
    <row r="37" spans="1:11" ht="42.75" x14ac:dyDescent="0.25">
      <c r="A37" s="88">
        <v>108</v>
      </c>
      <c r="B37" s="89" t="s">
        <v>1478</v>
      </c>
      <c r="C37" s="88" t="s">
        <v>0</v>
      </c>
      <c r="D37" s="95"/>
      <c r="E37" s="90">
        <v>120000</v>
      </c>
      <c r="F37" s="88">
        <v>4</v>
      </c>
      <c r="G37" s="89" t="s">
        <v>4756</v>
      </c>
      <c r="H37" s="89" t="s">
        <v>1479</v>
      </c>
      <c r="I37" s="89" t="s">
        <v>17</v>
      </c>
      <c r="J37" s="89" t="s">
        <v>1480</v>
      </c>
      <c r="K37" s="89" t="str">
        <f>"00049605"</f>
        <v>00049605</v>
      </c>
    </row>
    <row r="38" spans="1:11" ht="42.75" x14ac:dyDescent="0.25">
      <c r="A38" s="88">
        <v>108</v>
      </c>
      <c r="B38" s="89" t="s">
        <v>1507</v>
      </c>
      <c r="C38" s="88" t="s">
        <v>0</v>
      </c>
      <c r="D38" s="95"/>
      <c r="E38" s="90">
        <v>49624</v>
      </c>
      <c r="F38" s="88">
        <v>4</v>
      </c>
      <c r="G38" s="89" t="s">
        <v>1508</v>
      </c>
      <c r="H38" s="89" t="s">
        <v>1509</v>
      </c>
      <c r="I38" s="89" t="s">
        <v>185</v>
      </c>
      <c r="J38" s="89" t="s">
        <v>1510</v>
      </c>
      <c r="K38" s="89" t="str">
        <f>"00050407"</f>
        <v>00050407</v>
      </c>
    </row>
    <row r="39" spans="1:11" ht="42.75" x14ac:dyDescent="0.25">
      <c r="A39" s="88">
        <v>108</v>
      </c>
      <c r="B39" s="89" t="s">
        <v>1504</v>
      </c>
      <c r="C39" s="88" t="s">
        <v>0</v>
      </c>
      <c r="D39" s="95"/>
      <c r="E39" s="90">
        <v>45657</v>
      </c>
      <c r="F39" s="88">
        <v>4</v>
      </c>
      <c r="G39" s="89" t="s">
        <v>1505</v>
      </c>
      <c r="H39" s="89" t="s">
        <v>1506</v>
      </c>
      <c r="I39" s="89" t="s">
        <v>94</v>
      </c>
      <c r="J39" s="89" t="s">
        <v>529</v>
      </c>
      <c r="K39" s="89" t="str">
        <f>"00050572"</f>
        <v>00050572</v>
      </c>
    </row>
    <row r="40" spans="1:11" ht="42.75" x14ac:dyDescent="0.25">
      <c r="A40" s="88">
        <v>108</v>
      </c>
      <c r="B40" s="89" t="s">
        <v>1511</v>
      </c>
      <c r="C40" s="88" t="s">
        <v>0</v>
      </c>
      <c r="D40" s="95"/>
      <c r="E40" s="90">
        <v>33244</v>
      </c>
      <c r="F40" s="88">
        <v>4</v>
      </c>
      <c r="G40" s="89" t="s">
        <v>1512</v>
      </c>
      <c r="H40" s="89" t="s">
        <v>1513</v>
      </c>
      <c r="I40" s="89" t="s">
        <v>66</v>
      </c>
      <c r="J40" s="89" t="s">
        <v>1514</v>
      </c>
      <c r="K40" s="89" t="str">
        <f>"00051030"</f>
        <v>00051030</v>
      </c>
    </row>
    <row r="41" spans="1:11" ht="85.5" x14ac:dyDescent="0.25">
      <c r="A41" s="88">
        <v>108</v>
      </c>
      <c r="B41" s="89" t="s">
        <v>4353</v>
      </c>
      <c r="C41" s="88" t="s">
        <v>0</v>
      </c>
      <c r="D41" s="95"/>
      <c r="E41" s="90">
        <v>239600</v>
      </c>
      <c r="F41" s="88">
        <v>4</v>
      </c>
      <c r="G41" s="89" t="s">
        <v>4354</v>
      </c>
      <c r="H41" s="89" t="s">
        <v>4355</v>
      </c>
      <c r="I41" s="89" t="s">
        <v>32</v>
      </c>
      <c r="J41" s="89" t="s">
        <v>4356</v>
      </c>
      <c r="K41" s="89" t="str">
        <f>"00047166"</f>
        <v>00047166</v>
      </c>
    </row>
    <row r="42" spans="1:11" ht="57" x14ac:dyDescent="0.25">
      <c r="A42" s="88">
        <v>108</v>
      </c>
      <c r="B42" s="89" t="s">
        <v>4453</v>
      </c>
      <c r="C42" s="88" t="s">
        <v>0</v>
      </c>
      <c r="D42" s="95"/>
      <c r="E42" s="90">
        <v>30142</v>
      </c>
      <c r="F42" s="88">
        <v>4</v>
      </c>
      <c r="G42" s="89" t="s">
        <v>4454</v>
      </c>
      <c r="H42" s="89" t="s">
        <v>1494</v>
      </c>
      <c r="I42" s="89" t="s">
        <v>156</v>
      </c>
      <c r="J42" s="89" t="s">
        <v>4455</v>
      </c>
      <c r="K42" s="89" t="str">
        <f>"00048942"</f>
        <v>00048942</v>
      </c>
    </row>
    <row r="43" spans="1:11" ht="42.75" x14ac:dyDescent="0.25">
      <c r="A43" s="88">
        <v>108</v>
      </c>
      <c r="B43" s="89" t="s">
        <v>4470</v>
      </c>
      <c r="C43" s="88" t="s">
        <v>0</v>
      </c>
      <c r="D43" s="95"/>
      <c r="E43" s="90">
        <v>332</v>
      </c>
      <c r="F43" s="88">
        <v>4</v>
      </c>
      <c r="G43" s="89" t="s">
        <v>4471</v>
      </c>
      <c r="H43" s="89" t="s">
        <v>2872</v>
      </c>
      <c r="I43" s="89" t="s">
        <v>3100</v>
      </c>
      <c r="J43" s="89" t="s">
        <v>4472</v>
      </c>
      <c r="K43" s="89" t="str">
        <f>"00048515"</f>
        <v>00048515</v>
      </c>
    </row>
    <row r="44" spans="1:11" ht="57" x14ac:dyDescent="0.25">
      <c r="A44" s="88">
        <v>108</v>
      </c>
      <c r="B44" s="89" t="s">
        <v>4551</v>
      </c>
      <c r="C44" s="88" t="s">
        <v>0</v>
      </c>
      <c r="D44" s="95"/>
      <c r="E44" s="90">
        <v>25699</v>
      </c>
      <c r="F44" s="88">
        <v>4</v>
      </c>
      <c r="G44" s="89" t="s">
        <v>1501</v>
      </c>
      <c r="H44" s="89" t="s">
        <v>1502</v>
      </c>
      <c r="I44" s="89" t="s">
        <v>32</v>
      </c>
      <c r="J44" s="89" t="s">
        <v>1503</v>
      </c>
      <c r="K44" s="89" t="str">
        <f>"00050023"</f>
        <v>00050023</v>
      </c>
    </row>
    <row r="45" spans="1:11" ht="28.5" x14ac:dyDescent="0.25">
      <c r="A45" s="83">
        <v>108</v>
      </c>
      <c r="B45" s="84" t="s">
        <v>12</v>
      </c>
      <c r="C45" s="83" t="s">
        <v>0</v>
      </c>
      <c r="D45" s="85">
        <v>75400000</v>
      </c>
      <c r="E45" s="30"/>
      <c r="F45" s="83">
        <v>4</v>
      </c>
      <c r="G45" s="84" t="s">
        <v>52</v>
      </c>
      <c r="H45" s="84"/>
      <c r="I45" s="84" t="s">
        <v>53</v>
      </c>
      <c r="J45" s="84"/>
      <c r="K45" s="84" t="str">
        <f>"　"</f>
        <v>　</v>
      </c>
    </row>
    <row r="46" spans="1:11" ht="57" x14ac:dyDescent="0.25">
      <c r="A46" s="83">
        <v>108</v>
      </c>
      <c r="B46" s="84" t="s">
        <v>119</v>
      </c>
      <c r="C46" s="83" t="s">
        <v>0</v>
      </c>
      <c r="D46" s="84"/>
      <c r="E46" s="85">
        <v>73329</v>
      </c>
      <c r="F46" s="83">
        <v>4</v>
      </c>
      <c r="G46" s="84" t="s">
        <v>1545</v>
      </c>
      <c r="H46" s="84" t="s">
        <v>1546</v>
      </c>
      <c r="I46" s="84" t="s">
        <v>32</v>
      </c>
      <c r="J46" s="84" t="s">
        <v>262</v>
      </c>
      <c r="K46" s="84" t="str">
        <f>"00052286"</f>
        <v>00052286</v>
      </c>
    </row>
    <row r="47" spans="1:11" ht="85.5" x14ac:dyDescent="0.25">
      <c r="A47" s="83">
        <v>108</v>
      </c>
      <c r="B47" s="84" t="s">
        <v>1539</v>
      </c>
      <c r="C47" s="83" t="s">
        <v>0</v>
      </c>
      <c r="D47" s="84"/>
      <c r="E47" s="85">
        <v>49595</v>
      </c>
      <c r="F47" s="83">
        <v>4</v>
      </c>
      <c r="G47" s="84" t="s">
        <v>1540</v>
      </c>
      <c r="H47" s="84" t="s">
        <v>1541</v>
      </c>
      <c r="I47" s="84" t="s">
        <v>1542</v>
      </c>
      <c r="J47" s="84" t="s">
        <v>1543</v>
      </c>
      <c r="K47" s="84" t="str">
        <f>"00052088"</f>
        <v>00052088</v>
      </c>
    </row>
    <row r="48" spans="1:11" ht="57" x14ac:dyDescent="0.25">
      <c r="A48" s="83">
        <v>108</v>
      </c>
      <c r="B48" s="84" t="s">
        <v>958</v>
      </c>
      <c r="C48" s="83" t="s">
        <v>0</v>
      </c>
      <c r="D48" s="84"/>
      <c r="E48" s="85">
        <v>87436</v>
      </c>
      <c r="F48" s="83">
        <v>4</v>
      </c>
      <c r="G48" s="84" t="s">
        <v>1537</v>
      </c>
      <c r="H48" s="84" t="s">
        <v>1538</v>
      </c>
      <c r="I48" s="84" t="s">
        <v>66</v>
      </c>
      <c r="J48" s="84" t="s">
        <v>99</v>
      </c>
      <c r="K48" s="84" t="s">
        <v>6286</v>
      </c>
    </row>
    <row r="49" spans="1:11" ht="57" x14ac:dyDescent="0.25">
      <c r="A49" s="83">
        <v>108</v>
      </c>
      <c r="B49" s="84" t="s">
        <v>3522</v>
      </c>
      <c r="C49" s="83" t="s">
        <v>0</v>
      </c>
      <c r="D49" s="84"/>
      <c r="E49" s="85">
        <v>371393</v>
      </c>
      <c r="F49" s="83">
        <v>4</v>
      </c>
      <c r="G49" s="84" t="s">
        <v>5618</v>
      </c>
      <c r="H49" s="84" t="s">
        <v>3501</v>
      </c>
      <c r="I49" s="84" t="s">
        <v>849</v>
      </c>
      <c r="J49" s="84" t="s">
        <v>976</v>
      </c>
      <c r="K49" s="84" t="s">
        <v>6287</v>
      </c>
    </row>
    <row r="50" spans="1:11" ht="99.75" x14ac:dyDescent="0.25">
      <c r="A50" s="83">
        <v>108</v>
      </c>
      <c r="B50" s="84" t="s">
        <v>5619</v>
      </c>
      <c r="C50" s="83" t="s">
        <v>0</v>
      </c>
      <c r="D50" s="84"/>
      <c r="E50" s="85">
        <v>32143</v>
      </c>
      <c r="F50" s="83">
        <v>4</v>
      </c>
      <c r="G50" s="84" t="s">
        <v>5620</v>
      </c>
      <c r="H50" s="84" t="s">
        <v>5621</v>
      </c>
      <c r="I50" s="84" t="s">
        <v>152</v>
      </c>
      <c r="J50" s="84" t="s">
        <v>153</v>
      </c>
      <c r="K50" s="84" t="s">
        <v>6522</v>
      </c>
    </row>
    <row r="51" spans="1:11" ht="57" x14ac:dyDescent="0.25">
      <c r="A51" s="83">
        <v>108</v>
      </c>
      <c r="B51" s="84" t="s">
        <v>1529</v>
      </c>
      <c r="C51" s="83" t="s">
        <v>0</v>
      </c>
      <c r="D51" s="84"/>
      <c r="E51" s="85">
        <v>28498</v>
      </c>
      <c r="F51" s="83">
        <v>4</v>
      </c>
      <c r="G51" s="84" t="s">
        <v>5622</v>
      </c>
      <c r="H51" s="84" t="s">
        <v>5623</v>
      </c>
      <c r="I51" s="84" t="s">
        <v>32</v>
      </c>
      <c r="J51" s="84" t="s">
        <v>57</v>
      </c>
      <c r="K51" s="84" t="s">
        <v>6521</v>
      </c>
    </row>
    <row r="52" spans="1:11" ht="99.75" x14ac:dyDescent="0.25">
      <c r="A52" s="83">
        <v>108</v>
      </c>
      <c r="B52" s="84" t="s">
        <v>1529</v>
      </c>
      <c r="C52" s="83" t="s">
        <v>0</v>
      </c>
      <c r="D52" s="84"/>
      <c r="E52" s="85">
        <v>23425</v>
      </c>
      <c r="F52" s="83">
        <v>4</v>
      </c>
      <c r="G52" s="84" t="s">
        <v>1554</v>
      </c>
      <c r="H52" s="84" t="s">
        <v>1555</v>
      </c>
      <c r="I52" s="84" t="s">
        <v>1556</v>
      </c>
      <c r="J52" s="84" t="s">
        <v>1557</v>
      </c>
      <c r="K52" s="84" t="s">
        <v>6520</v>
      </c>
    </row>
    <row r="53" spans="1:11" ht="71.25" x14ac:dyDescent="0.25">
      <c r="A53" s="83">
        <v>108</v>
      </c>
      <c r="B53" s="84" t="s">
        <v>5619</v>
      </c>
      <c r="C53" s="83" t="s">
        <v>0</v>
      </c>
      <c r="D53" s="84"/>
      <c r="E53" s="85">
        <v>15743</v>
      </c>
      <c r="F53" s="83">
        <v>4</v>
      </c>
      <c r="G53" s="84" t="s">
        <v>5624</v>
      </c>
      <c r="H53" s="84" t="s">
        <v>3507</v>
      </c>
      <c r="I53" s="84" t="s">
        <v>156</v>
      </c>
      <c r="J53" s="84" t="s">
        <v>1023</v>
      </c>
      <c r="K53" s="84" t="s">
        <v>5864</v>
      </c>
    </row>
    <row r="54" spans="1:11" ht="71.25" x14ac:dyDescent="0.25">
      <c r="A54" s="83">
        <v>108</v>
      </c>
      <c r="B54" s="84" t="s">
        <v>1518</v>
      </c>
      <c r="C54" s="83" t="s">
        <v>0</v>
      </c>
      <c r="D54" s="84"/>
      <c r="E54" s="85">
        <v>72037</v>
      </c>
      <c r="F54" s="83">
        <v>4</v>
      </c>
      <c r="G54" s="84" t="s">
        <v>5625</v>
      </c>
      <c r="H54" s="84" t="s">
        <v>1520</v>
      </c>
      <c r="I54" s="84" t="s">
        <v>94</v>
      </c>
      <c r="J54" s="84" t="s">
        <v>1521</v>
      </c>
      <c r="K54" s="84" t="str">
        <f>"00049257"</f>
        <v>00049257</v>
      </c>
    </row>
    <row r="55" spans="1:11" ht="57" x14ac:dyDescent="0.25">
      <c r="A55" s="83">
        <v>108</v>
      </c>
      <c r="B55" s="84" t="s">
        <v>5619</v>
      </c>
      <c r="C55" s="83" t="s">
        <v>0</v>
      </c>
      <c r="D55" s="84"/>
      <c r="E55" s="85">
        <v>16714</v>
      </c>
      <c r="F55" s="83">
        <v>4</v>
      </c>
      <c r="G55" s="84" t="s">
        <v>5626</v>
      </c>
      <c r="H55" s="84" t="s">
        <v>3507</v>
      </c>
      <c r="I55" s="84" t="s">
        <v>156</v>
      </c>
      <c r="J55" s="84" t="s">
        <v>1023</v>
      </c>
      <c r="K55" s="84" t="s">
        <v>6526</v>
      </c>
    </row>
    <row r="56" spans="1:11" ht="42.75" x14ac:dyDescent="0.25">
      <c r="A56" s="83">
        <v>108</v>
      </c>
      <c r="B56" s="84" t="s">
        <v>103</v>
      </c>
      <c r="C56" s="83" t="s">
        <v>0</v>
      </c>
      <c r="D56" s="84"/>
      <c r="E56" s="85">
        <v>135714</v>
      </c>
      <c r="F56" s="83">
        <v>4</v>
      </c>
      <c r="G56" s="84" t="s">
        <v>5627</v>
      </c>
      <c r="H56" s="84" t="s">
        <v>5628</v>
      </c>
      <c r="I56" s="84" t="s">
        <v>32</v>
      </c>
      <c r="J56" s="84" t="s">
        <v>57</v>
      </c>
      <c r="K56" s="84" t="s">
        <v>6527</v>
      </c>
    </row>
    <row r="57" spans="1:11" ht="42.75" x14ac:dyDescent="0.25">
      <c r="A57" s="83">
        <v>108</v>
      </c>
      <c r="B57" s="84" t="s">
        <v>103</v>
      </c>
      <c r="C57" s="83" t="s">
        <v>0</v>
      </c>
      <c r="D57" s="84"/>
      <c r="E57" s="85">
        <v>138443</v>
      </c>
      <c r="F57" s="83">
        <v>4</v>
      </c>
      <c r="G57" s="84" t="s">
        <v>5627</v>
      </c>
      <c r="H57" s="84" t="s">
        <v>5629</v>
      </c>
      <c r="I57" s="84" t="s">
        <v>32</v>
      </c>
      <c r="J57" s="84" t="s">
        <v>57</v>
      </c>
      <c r="K57" s="87" t="s">
        <v>6528</v>
      </c>
    </row>
    <row r="58" spans="1:11" ht="99.75" x14ac:dyDescent="0.25">
      <c r="A58" s="83">
        <v>108</v>
      </c>
      <c r="B58" s="84" t="s">
        <v>973</v>
      </c>
      <c r="C58" s="83" t="s">
        <v>0</v>
      </c>
      <c r="D58" s="84"/>
      <c r="E58" s="85">
        <v>671195</v>
      </c>
      <c r="F58" s="83">
        <v>4</v>
      </c>
      <c r="G58" s="84" t="s">
        <v>5630</v>
      </c>
      <c r="H58" s="84" t="s">
        <v>5631</v>
      </c>
      <c r="I58" s="84" t="s">
        <v>849</v>
      </c>
      <c r="J58" s="84" t="s">
        <v>976</v>
      </c>
      <c r="K58" s="31" t="s">
        <v>5686</v>
      </c>
    </row>
    <row r="59" spans="1:11" ht="57" x14ac:dyDescent="0.25">
      <c r="A59" s="83">
        <v>108</v>
      </c>
      <c r="B59" s="84" t="s">
        <v>1622</v>
      </c>
      <c r="C59" s="83" t="s">
        <v>0</v>
      </c>
      <c r="D59" s="84"/>
      <c r="E59" s="85">
        <v>85904</v>
      </c>
      <c r="F59" s="83">
        <v>4</v>
      </c>
      <c r="G59" s="84" t="s">
        <v>5632</v>
      </c>
      <c r="H59" s="84" t="s">
        <v>5633</v>
      </c>
      <c r="I59" s="84" t="s">
        <v>32</v>
      </c>
      <c r="J59" s="84" t="s">
        <v>84</v>
      </c>
      <c r="K59" s="84" t="s">
        <v>6525</v>
      </c>
    </row>
    <row r="60" spans="1:11" ht="42.75" x14ac:dyDescent="0.25">
      <c r="A60" s="83">
        <v>108</v>
      </c>
      <c r="B60" s="84" t="s">
        <v>5634</v>
      </c>
      <c r="C60" s="83" t="s">
        <v>0</v>
      </c>
      <c r="D60" s="84"/>
      <c r="E60" s="85">
        <v>53950</v>
      </c>
      <c r="F60" s="83">
        <v>4</v>
      </c>
      <c r="G60" s="84" t="s">
        <v>5635</v>
      </c>
      <c r="H60" s="84" t="s">
        <v>2758</v>
      </c>
      <c r="I60" s="84" t="s">
        <v>156</v>
      </c>
      <c r="J60" s="84" t="s">
        <v>5636</v>
      </c>
      <c r="K60" s="76" t="s">
        <v>6524</v>
      </c>
    </row>
    <row r="61" spans="1:11" ht="42.75" x14ac:dyDescent="0.25">
      <c r="A61" s="83">
        <v>108</v>
      </c>
      <c r="B61" s="84" t="s">
        <v>103</v>
      </c>
      <c r="C61" s="83" t="s">
        <v>0</v>
      </c>
      <c r="D61" s="84"/>
      <c r="E61" s="85">
        <v>24450</v>
      </c>
      <c r="F61" s="83">
        <v>4</v>
      </c>
      <c r="G61" s="84" t="s">
        <v>5637</v>
      </c>
      <c r="H61" s="84" t="s">
        <v>1609</v>
      </c>
      <c r="I61" s="84" t="s">
        <v>152</v>
      </c>
      <c r="J61" s="84" t="s">
        <v>1610</v>
      </c>
      <c r="K61" s="84" t="s">
        <v>6523</v>
      </c>
    </row>
    <row r="62" spans="1:11" ht="57" x14ac:dyDescent="0.25">
      <c r="A62" s="83">
        <v>108</v>
      </c>
      <c r="B62" s="84" t="s">
        <v>96</v>
      </c>
      <c r="C62" s="83" t="s">
        <v>0</v>
      </c>
      <c r="D62" s="84"/>
      <c r="E62" s="85">
        <v>91536</v>
      </c>
      <c r="F62" s="83">
        <v>4</v>
      </c>
      <c r="G62" s="84" t="s">
        <v>5638</v>
      </c>
      <c r="H62" s="84" t="s">
        <v>5639</v>
      </c>
      <c r="I62" s="84" t="s">
        <v>66</v>
      </c>
      <c r="J62" s="84" t="s">
        <v>5640</v>
      </c>
      <c r="K62" s="84" t="s">
        <v>5865</v>
      </c>
    </row>
    <row r="63" spans="1:11" ht="57" x14ac:dyDescent="0.25">
      <c r="A63" s="83">
        <v>108</v>
      </c>
      <c r="B63" s="84" t="s">
        <v>126</v>
      </c>
      <c r="C63" s="83" t="s">
        <v>0</v>
      </c>
      <c r="D63" s="84"/>
      <c r="E63" s="85">
        <v>102672</v>
      </c>
      <c r="F63" s="83">
        <v>4</v>
      </c>
      <c r="G63" s="84" t="s">
        <v>127</v>
      </c>
      <c r="H63" s="84" t="s">
        <v>121</v>
      </c>
      <c r="I63" s="84" t="s">
        <v>32</v>
      </c>
      <c r="J63" s="84" t="s">
        <v>84</v>
      </c>
      <c r="K63" s="84" t="s">
        <v>5860</v>
      </c>
    </row>
    <row r="64" spans="1:11" ht="99.75" x14ac:dyDescent="0.25">
      <c r="A64" s="83">
        <v>108</v>
      </c>
      <c r="B64" s="84" t="s">
        <v>128</v>
      </c>
      <c r="C64" s="83" t="s">
        <v>0</v>
      </c>
      <c r="D64" s="84"/>
      <c r="E64" s="85">
        <v>159688</v>
      </c>
      <c r="F64" s="83">
        <v>4</v>
      </c>
      <c r="G64" s="84" t="s">
        <v>129</v>
      </c>
      <c r="H64" s="84" t="s">
        <v>130</v>
      </c>
      <c r="I64" s="84" t="s">
        <v>32</v>
      </c>
      <c r="J64" s="84" t="s">
        <v>131</v>
      </c>
      <c r="K64" s="84" t="str">
        <f>"00047006"</f>
        <v>00047006</v>
      </c>
    </row>
    <row r="65" spans="1:11" ht="57" x14ac:dyDescent="0.25">
      <c r="A65" s="83">
        <v>108</v>
      </c>
      <c r="B65" s="84" t="s">
        <v>119</v>
      </c>
      <c r="C65" s="83" t="s">
        <v>0</v>
      </c>
      <c r="D65" s="84"/>
      <c r="E65" s="85">
        <v>110707</v>
      </c>
      <c r="F65" s="83">
        <v>4</v>
      </c>
      <c r="G65" s="84" t="s">
        <v>120</v>
      </c>
      <c r="H65" s="84" t="s">
        <v>121</v>
      </c>
      <c r="I65" s="84" t="s">
        <v>32</v>
      </c>
      <c r="J65" s="84" t="s">
        <v>84</v>
      </c>
      <c r="K65" s="84" t="s">
        <v>6293</v>
      </c>
    </row>
    <row r="66" spans="1:11" ht="57" x14ac:dyDescent="0.25">
      <c r="A66" s="83">
        <v>108</v>
      </c>
      <c r="B66" s="84" t="s">
        <v>115</v>
      </c>
      <c r="C66" s="83" t="s">
        <v>0</v>
      </c>
      <c r="D66" s="84"/>
      <c r="E66" s="85">
        <v>113404</v>
      </c>
      <c r="F66" s="83">
        <v>4</v>
      </c>
      <c r="G66" s="84" t="s">
        <v>116</v>
      </c>
      <c r="H66" s="84" t="s">
        <v>117</v>
      </c>
      <c r="I66" s="84" t="s">
        <v>32</v>
      </c>
      <c r="J66" s="84" t="s">
        <v>118</v>
      </c>
      <c r="K66" s="84" t="str">
        <f>"00046439"</f>
        <v>00046439</v>
      </c>
    </row>
    <row r="67" spans="1:11" ht="42.75" x14ac:dyDescent="0.25">
      <c r="A67" s="83">
        <v>108</v>
      </c>
      <c r="B67" s="84" t="s">
        <v>115</v>
      </c>
      <c r="C67" s="83" t="s">
        <v>0</v>
      </c>
      <c r="D67" s="84"/>
      <c r="E67" s="85">
        <v>64094</v>
      </c>
      <c r="F67" s="83">
        <v>4</v>
      </c>
      <c r="G67" s="84" t="s">
        <v>1527</v>
      </c>
      <c r="H67" s="84" t="s">
        <v>1528</v>
      </c>
      <c r="I67" s="84" t="s">
        <v>66</v>
      </c>
      <c r="J67" s="84" t="s">
        <v>1311</v>
      </c>
      <c r="K67" s="84" t="s">
        <v>6291</v>
      </c>
    </row>
    <row r="68" spans="1:11" ht="57" x14ac:dyDescent="0.25">
      <c r="A68" s="83">
        <v>108</v>
      </c>
      <c r="B68" s="84" t="s">
        <v>115</v>
      </c>
      <c r="C68" s="83" t="s">
        <v>0</v>
      </c>
      <c r="D68" s="84"/>
      <c r="E68" s="85">
        <v>47594</v>
      </c>
      <c r="F68" s="83">
        <v>4</v>
      </c>
      <c r="G68" s="84" t="s">
        <v>1533</v>
      </c>
      <c r="H68" s="84" t="s">
        <v>1528</v>
      </c>
      <c r="I68" s="84" t="s">
        <v>66</v>
      </c>
      <c r="J68" s="84" t="s">
        <v>1311</v>
      </c>
      <c r="K68" s="84" t="s">
        <v>6292</v>
      </c>
    </row>
    <row r="69" spans="1:11" ht="42.75" x14ac:dyDescent="0.25">
      <c r="A69" s="83">
        <v>108</v>
      </c>
      <c r="B69" s="84" t="s">
        <v>111</v>
      </c>
      <c r="C69" s="83" t="s">
        <v>0</v>
      </c>
      <c r="D69" s="84"/>
      <c r="E69" s="85">
        <v>4573</v>
      </c>
      <c r="F69" s="83">
        <v>4</v>
      </c>
      <c r="G69" s="84" t="s">
        <v>112</v>
      </c>
      <c r="H69" s="84" t="s">
        <v>70</v>
      </c>
      <c r="I69" s="84" t="s">
        <v>113</v>
      </c>
      <c r="J69" s="84" t="s">
        <v>114</v>
      </c>
      <c r="K69" s="84" t="s">
        <v>6288</v>
      </c>
    </row>
    <row r="70" spans="1:11" ht="42.75" x14ac:dyDescent="0.25">
      <c r="A70" s="83">
        <v>108</v>
      </c>
      <c r="B70" s="84" t="s">
        <v>1529</v>
      </c>
      <c r="C70" s="83" t="s">
        <v>0</v>
      </c>
      <c r="D70" s="84"/>
      <c r="E70" s="85">
        <v>117494</v>
      </c>
      <c r="F70" s="83">
        <v>4</v>
      </c>
      <c r="G70" s="84" t="s">
        <v>1534</v>
      </c>
      <c r="H70" s="84" t="s">
        <v>1535</v>
      </c>
      <c r="I70" s="84" t="s">
        <v>225</v>
      </c>
      <c r="J70" s="84" t="s">
        <v>1536</v>
      </c>
      <c r="K70" s="84" t="s">
        <v>6289</v>
      </c>
    </row>
    <row r="71" spans="1:11" ht="42.75" x14ac:dyDescent="0.25">
      <c r="A71" s="83">
        <v>108</v>
      </c>
      <c r="B71" s="84" t="s">
        <v>91</v>
      </c>
      <c r="C71" s="83" t="s">
        <v>0</v>
      </c>
      <c r="D71" s="84"/>
      <c r="E71" s="85">
        <v>39749</v>
      </c>
      <c r="F71" s="83">
        <v>4</v>
      </c>
      <c r="G71" s="84" t="s">
        <v>92</v>
      </c>
      <c r="H71" s="84" t="s">
        <v>93</v>
      </c>
      <c r="I71" s="84" t="s">
        <v>94</v>
      </c>
      <c r="J71" s="84" t="s">
        <v>95</v>
      </c>
      <c r="K71" s="84" t="s">
        <v>6529</v>
      </c>
    </row>
    <row r="72" spans="1:11" ht="57" x14ac:dyDescent="0.25">
      <c r="A72" s="83">
        <v>108</v>
      </c>
      <c r="B72" s="84" t="s">
        <v>1529</v>
      </c>
      <c r="C72" s="83" t="s">
        <v>0</v>
      </c>
      <c r="D72" s="84"/>
      <c r="E72" s="85">
        <v>71388</v>
      </c>
      <c r="F72" s="83">
        <v>4</v>
      </c>
      <c r="G72" s="84" t="s">
        <v>1530</v>
      </c>
      <c r="H72" s="84" t="s">
        <v>1531</v>
      </c>
      <c r="I72" s="84" t="s">
        <v>849</v>
      </c>
      <c r="J72" s="84" t="s">
        <v>1532</v>
      </c>
      <c r="K72" s="84" t="s">
        <v>6290</v>
      </c>
    </row>
    <row r="73" spans="1:11" ht="57" x14ac:dyDescent="0.25">
      <c r="A73" s="83">
        <v>108</v>
      </c>
      <c r="B73" s="84" t="s">
        <v>85</v>
      </c>
      <c r="C73" s="83" t="s">
        <v>0</v>
      </c>
      <c r="D73" s="84"/>
      <c r="E73" s="85">
        <v>150000</v>
      </c>
      <c r="F73" s="83">
        <v>4</v>
      </c>
      <c r="G73" s="84" t="s">
        <v>86</v>
      </c>
      <c r="H73" s="84" t="s">
        <v>87</v>
      </c>
      <c r="I73" s="84" t="s">
        <v>32</v>
      </c>
      <c r="J73" s="84" t="s">
        <v>84</v>
      </c>
      <c r="K73" s="84" t="str">
        <f>"00047102"</f>
        <v>00047102</v>
      </c>
    </row>
    <row r="74" spans="1:11" ht="57" x14ac:dyDescent="0.25">
      <c r="A74" s="83">
        <v>108</v>
      </c>
      <c r="B74" s="84" t="s">
        <v>81</v>
      </c>
      <c r="C74" s="83" t="s">
        <v>0</v>
      </c>
      <c r="D74" s="84"/>
      <c r="E74" s="85">
        <v>85000</v>
      </c>
      <c r="F74" s="83">
        <v>4</v>
      </c>
      <c r="G74" s="84" t="s">
        <v>82</v>
      </c>
      <c r="H74" s="84" t="s">
        <v>83</v>
      </c>
      <c r="I74" s="84" t="s">
        <v>32</v>
      </c>
      <c r="J74" s="84" t="s">
        <v>84</v>
      </c>
      <c r="K74" s="84" t="str">
        <f>"00047322"</f>
        <v>00047322</v>
      </c>
    </row>
    <row r="75" spans="1:11" ht="42.75" x14ac:dyDescent="0.25">
      <c r="A75" s="83">
        <v>108</v>
      </c>
      <c r="B75" s="84" t="s">
        <v>103</v>
      </c>
      <c r="C75" s="83" t="s">
        <v>0</v>
      </c>
      <c r="D75" s="84"/>
      <c r="E75" s="85">
        <v>151451</v>
      </c>
      <c r="F75" s="83">
        <v>4</v>
      </c>
      <c r="G75" s="84" t="s">
        <v>104</v>
      </c>
      <c r="H75" s="84" t="s">
        <v>105</v>
      </c>
      <c r="I75" s="84" t="s">
        <v>106</v>
      </c>
      <c r="J75" s="84" t="s">
        <v>107</v>
      </c>
      <c r="K75" s="84" t="s">
        <v>5863</v>
      </c>
    </row>
    <row r="76" spans="1:11" ht="42.75" x14ac:dyDescent="0.25">
      <c r="A76" s="83">
        <v>108</v>
      </c>
      <c r="B76" s="84" t="s">
        <v>96</v>
      </c>
      <c r="C76" s="83" t="s">
        <v>0</v>
      </c>
      <c r="D76" s="84"/>
      <c r="E76" s="85">
        <v>61140</v>
      </c>
      <c r="F76" s="83">
        <v>4</v>
      </c>
      <c r="G76" s="84" t="s">
        <v>97</v>
      </c>
      <c r="H76" s="84" t="s">
        <v>98</v>
      </c>
      <c r="I76" s="84" t="s">
        <v>66</v>
      </c>
      <c r="J76" s="84" t="s">
        <v>99</v>
      </c>
      <c r="K76" s="84" t="s">
        <v>6294</v>
      </c>
    </row>
    <row r="77" spans="1:11" ht="57" x14ac:dyDescent="0.25">
      <c r="A77" s="83">
        <v>108</v>
      </c>
      <c r="B77" s="84" t="s">
        <v>100</v>
      </c>
      <c r="C77" s="83" t="s">
        <v>0</v>
      </c>
      <c r="D77" s="84"/>
      <c r="E77" s="85">
        <v>109806</v>
      </c>
      <c r="F77" s="83">
        <v>4</v>
      </c>
      <c r="G77" s="84" t="s">
        <v>101</v>
      </c>
      <c r="H77" s="84" t="s">
        <v>102</v>
      </c>
      <c r="I77" s="84" t="s">
        <v>32</v>
      </c>
      <c r="J77" s="84" t="s">
        <v>84</v>
      </c>
      <c r="K77" s="84" t="s">
        <v>6295</v>
      </c>
    </row>
    <row r="78" spans="1:11" ht="42.75" x14ac:dyDescent="0.25">
      <c r="A78" s="83">
        <v>108</v>
      </c>
      <c r="B78" s="84" t="s">
        <v>96</v>
      </c>
      <c r="C78" s="83" t="s">
        <v>0</v>
      </c>
      <c r="D78" s="84"/>
      <c r="E78" s="85">
        <v>14679</v>
      </c>
      <c r="F78" s="83">
        <v>4</v>
      </c>
      <c r="G78" s="84" t="s">
        <v>108</v>
      </c>
      <c r="H78" s="84" t="s">
        <v>109</v>
      </c>
      <c r="I78" s="84" t="s">
        <v>17</v>
      </c>
      <c r="J78" s="84" t="s">
        <v>110</v>
      </c>
      <c r="K78" s="84" t="s">
        <v>6296</v>
      </c>
    </row>
    <row r="79" spans="1:11" ht="71.25" x14ac:dyDescent="0.25">
      <c r="A79" s="83">
        <v>108</v>
      </c>
      <c r="B79" s="84" t="s">
        <v>1529</v>
      </c>
      <c r="C79" s="83" t="s">
        <v>0</v>
      </c>
      <c r="D79" s="84"/>
      <c r="E79" s="85">
        <v>83511</v>
      </c>
      <c r="F79" s="83">
        <v>4</v>
      </c>
      <c r="G79" s="84" t="s">
        <v>1584</v>
      </c>
      <c r="H79" s="84" t="s">
        <v>1585</v>
      </c>
      <c r="I79" s="84" t="s">
        <v>1586</v>
      </c>
      <c r="J79" s="84" t="s">
        <v>1587</v>
      </c>
      <c r="K79" s="84" t="s">
        <v>6297</v>
      </c>
    </row>
    <row r="80" spans="1:11" ht="71.25" x14ac:dyDescent="0.25">
      <c r="A80" s="83">
        <v>108</v>
      </c>
      <c r="B80" s="84" t="s">
        <v>126</v>
      </c>
      <c r="C80" s="83" t="s">
        <v>0</v>
      </c>
      <c r="D80" s="84"/>
      <c r="E80" s="85">
        <v>59772</v>
      </c>
      <c r="F80" s="83">
        <v>4</v>
      </c>
      <c r="G80" s="84" t="s">
        <v>1565</v>
      </c>
      <c r="H80" s="84" t="s">
        <v>1566</v>
      </c>
      <c r="I80" s="84" t="s">
        <v>1567</v>
      </c>
      <c r="J80" s="84" t="s">
        <v>1568</v>
      </c>
      <c r="K80" s="84" t="s">
        <v>6298</v>
      </c>
    </row>
    <row r="81" spans="1:11" ht="99.75" x14ac:dyDescent="0.25">
      <c r="A81" s="83">
        <v>108</v>
      </c>
      <c r="B81" s="84" t="s">
        <v>1561</v>
      </c>
      <c r="C81" s="83" t="s">
        <v>0</v>
      </c>
      <c r="D81" s="84"/>
      <c r="E81" s="85">
        <v>75846</v>
      </c>
      <c r="F81" s="83">
        <v>4</v>
      </c>
      <c r="G81" s="84" t="s">
        <v>1562</v>
      </c>
      <c r="H81" s="84" t="s">
        <v>1563</v>
      </c>
      <c r="I81" s="84" t="s">
        <v>32</v>
      </c>
      <c r="J81" s="84" t="s">
        <v>1564</v>
      </c>
      <c r="K81" s="84" t="s">
        <v>6299</v>
      </c>
    </row>
    <row r="82" spans="1:11" ht="42.75" x14ac:dyDescent="0.25">
      <c r="A82" s="83">
        <v>108</v>
      </c>
      <c r="B82" s="84" t="s">
        <v>1572</v>
      </c>
      <c r="C82" s="83" t="s">
        <v>0</v>
      </c>
      <c r="D82" s="84"/>
      <c r="E82" s="85">
        <v>94324</v>
      </c>
      <c r="F82" s="83">
        <v>4</v>
      </c>
      <c r="G82" s="84" t="s">
        <v>1573</v>
      </c>
      <c r="H82" s="84" t="s">
        <v>1574</v>
      </c>
      <c r="I82" s="84" t="s">
        <v>17</v>
      </c>
      <c r="J82" s="84" t="s">
        <v>1575</v>
      </c>
      <c r="K82" s="84" t="s">
        <v>6300</v>
      </c>
    </row>
    <row r="83" spans="1:11" ht="42.75" x14ac:dyDescent="0.25">
      <c r="A83" s="83">
        <v>108</v>
      </c>
      <c r="B83" s="84" t="s">
        <v>96</v>
      </c>
      <c r="C83" s="83" t="s">
        <v>0</v>
      </c>
      <c r="D83" s="84"/>
      <c r="E83" s="85">
        <v>112909</v>
      </c>
      <c r="F83" s="83">
        <v>4</v>
      </c>
      <c r="G83" s="84" t="s">
        <v>1571</v>
      </c>
      <c r="H83" s="84" t="s">
        <v>1570</v>
      </c>
      <c r="I83" s="84" t="s">
        <v>66</v>
      </c>
      <c r="J83" s="84" t="s">
        <v>125</v>
      </c>
      <c r="K83" s="84" t="s">
        <v>6301</v>
      </c>
    </row>
    <row r="84" spans="1:11" ht="57" x14ac:dyDescent="0.25">
      <c r="A84" s="83">
        <v>108</v>
      </c>
      <c r="B84" s="84" t="s">
        <v>88</v>
      </c>
      <c r="C84" s="83" t="s">
        <v>0</v>
      </c>
      <c r="D84" s="84"/>
      <c r="E84" s="85">
        <v>57514</v>
      </c>
      <c r="F84" s="83">
        <v>4</v>
      </c>
      <c r="G84" s="84" t="s">
        <v>89</v>
      </c>
      <c r="H84" s="84" t="s">
        <v>90</v>
      </c>
      <c r="I84" s="84" t="s">
        <v>32</v>
      </c>
      <c r="J84" s="84" t="s">
        <v>84</v>
      </c>
      <c r="K84" s="84" t="str">
        <f>"00046998"</f>
        <v>00046998</v>
      </c>
    </row>
    <row r="85" spans="1:11" ht="57" x14ac:dyDescent="0.25">
      <c r="A85" s="83">
        <v>108</v>
      </c>
      <c r="B85" s="84" t="s">
        <v>96</v>
      </c>
      <c r="C85" s="83" t="s">
        <v>0</v>
      </c>
      <c r="D85" s="84"/>
      <c r="E85" s="85">
        <v>70399</v>
      </c>
      <c r="F85" s="83">
        <v>4</v>
      </c>
      <c r="G85" s="84" t="s">
        <v>1569</v>
      </c>
      <c r="H85" s="84" t="s">
        <v>1570</v>
      </c>
      <c r="I85" s="84" t="s">
        <v>66</v>
      </c>
      <c r="J85" s="84" t="s">
        <v>125</v>
      </c>
      <c r="K85" s="84" t="s">
        <v>5862</v>
      </c>
    </row>
    <row r="86" spans="1:11" ht="85.5" x14ac:dyDescent="0.25">
      <c r="A86" s="83">
        <v>108</v>
      </c>
      <c r="B86" s="84" t="s">
        <v>1579</v>
      </c>
      <c r="C86" s="83" t="s">
        <v>0</v>
      </c>
      <c r="D86" s="84"/>
      <c r="E86" s="85">
        <v>79202</v>
      </c>
      <c r="F86" s="83">
        <v>4</v>
      </c>
      <c r="G86" s="84" t="s">
        <v>1580</v>
      </c>
      <c r="H86" s="84" t="s">
        <v>1581</v>
      </c>
      <c r="I86" s="84" t="s">
        <v>1582</v>
      </c>
      <c r="J86" s="84" t="s">
        <v>1583</v>
      </c>
      <c r="K86" s="84" t="s">
        <v>5861</v>
      </c>
    </row>
    <row r="87" spans="1:11" ht="57" x14ac:dyDescent="0.25">
      <c r="A87" s="83">
        <v>108</v>
      </c>
      <c r="B87" s="84" t="s">
        <v>1558</v>
      </c>
      <c r="C87" s="83" t="s">
        <v>0</v>
      </c>
      <c r="D87" s="84"/>
      <c r="E87" s="85">
        <v>60496</v>
      </c>
      <c r="F87" s="83">
        <v>4</v>
      </c>
      <c r="G87" s="84" t="s">
        <v>1559</v>
      </c>
      <c r="H87" s="84" t="s">
        <v>1560</v>
      </c>
      <c r="I87" s="84" t="s">
        <v>32</v>
      </c>
      <c r="J87" s="84" t="s">
        <v>84</v>
      </c>
      <c r="K87" s="84" t="str">
        <f>"00047323"</f>
        <v>00047323</v>
      </c>
    </row>
    <row r="88" spans="1:11" ht="42.75" x14ac:dyDescent="0.25">
      <c r="A88" s="83">
        <v>108</v>
      </c>
      <c r="B88" s="84" t="s">
        <v>1588</v>
      </c>
      <c r="C88" s="83" t="s">
        <v>0</v>
      </c>
      <c r="D88" s="84"/>
      <c r="E88" s="85">
        <v>13173</v>
      </c>
      <c r="F88" s="83">
        <v>4</v>
      </c>
      <c r="G88" s="84" t="s">
        <v>1589</v>
      </c>
      <c r="H88" s="84" t="s">
        <v>1590</v>
      </c>
      <c r="I88" s="84" t="s">
        <v>1582</v>
      </c>
      <c r="J88" s="84" t="s">
        <v>1591</v>
      </c>
      <c r="K88" s="84" t="str">
        <f>"00049456"</f>
        <v>00049456</v>
      </c>
    </row>
    <row r="89" spans="1:11" ht="99.75" x14ac:dyDescent="0.25">
      <c r="A89" s="83">
        <v>108</v>
      </c>
      <c r="B89" s="84" t="s">
        <v>1604</v>
      </c>
      <c r="C89" s="83" t="s">
        <v>0</v>
      </c>
      <c r="D89" s="84"/>
      <c r="E89" s="85">
        <v>28702</v>
      </c>
      <c r="F89" s="83">
        <v>4</v>
      </c>
      <c r="G89" s="84" t="s">
        <v>1605</v>
      </c>
      <c r="H89" s="84" t="s">
        <v>1606</v>
      </c>
      <c r="I89" s="84" t="s">
        <v>156</v>
      </c>
      <c r="J89" s="84" t="s">
        <v>1607</v>
      </c>
      <c r="K89" s="84" t="s">
        <v>6302</v>
      </c>
    </row>
    <row r="90" spans="1:11" ht="99.75" x14ac:dyDescent="0.25">
      <c r="A90" s="83">
        <v>108</v>
      </c>
      <c r="B90" s="84" t="s">
        <v>103</v>
      </c>
      <c r="C90" s="83" t="s">
        <v>0</v>
      </c>
      <c r="D90" s="84"/>
      <c r="E90" s="85">
        <v>21718</v>
      </c>
      <c r="F90" s="83">
        <v>4</v>
      </c>
      <c r="G90" s="84" t="s">
        <v>1608</v>
      </c>
      <c r="H90" s="84" t="s">
        <v>1609</v>
      </c>
      <c r="I90" s="84" t="s">
        <v>152</v>
      </c>
      <c r="J90" s="84" t="s">
        <v>1610</v>
      </c>
      <c r="K90" s="84" t="s">
        <v>6303</v>
      </c>
    </row>
    <row r="91" spans="1:11" ht="42.75" x14ac:dyDescent="0.25">
      <c r="A91" s="83">
        <v>108</v>
      </c>
      <c r="B91" s="84" t="s">
        <v>1592</v>
      </c>
      <c r="C91" s="83" t="s">
        <v>0</v>
      </c>
      <c r="D91" s="84"/>
      <c r="E91" s="85">
        <v>78645</v>
      </c>
      <c r="F91" s="83">
        <v>4</v>
      </c>
      <c r="G91" s="84" t="s">
        <v>1593</v>
      </c>
      <c r="H91" s="84" t="s">
        <v>1594</v>
      </c>
      <c r="I91" s="84" t="s">
        <v>32</v>
      </c>
      <c r="J91" s="84" t="s">
        <v>1595</v>
      </c>
      <c r="K91" s="84" t="s">
        <v>6304</v>
      </c>
    </row>
    <row r="92" spans="1:11" ht="57" x14ac:dyDescent="0.25">
      <c r="A92" s="83">
        <v>108</v>
      </c>
      <c r="B92" s="84" t="s">
        <v>126</v>
      </c>
      <c r="C92" s="83" t="s">
        <v>0</v>
      </c>
      <c r="D92" s="84"/>
      <c r="E92" s="85">
        <v>14727</v>
      </c>
      <c r="F92" s="83">
        <v>4</v>
      </c>
      <c r="G92" s="84" t="s">
        <v>1596</v>
      </c>
      <c r="H92" s="84" t="s">
        <v>1597</v>
      </c>
      <c r="I92" s="84" t="s">
        <v>135</v>
      </c>
      <c r="J92" s="84" t="s">
        <v>1598</v>
      </c>
      <c r="K92" s="84" t="str">
        <f>"00049086"</f>
        <v>00049086</v>
      </c>
    </row>
    <row r="93" spans="1:11" ht="85.5" x14ac:dyDescent="0.25">
      <c r="A93" s="83">
        <v>108</v>
      </c>
      <c r="B93" s="84" t="s">
        <v>1599</v>
      </c>
      <c r="C93" s="83" t="s">
        <v>0</v>
      </c>
      <c r="D93" s="84"/>
      <c r="E93" s="85">
        <v>215031</v>
      </c>
      <c r="F93" s="83">
        <v>4</v>
      </c>
      <c r="G93" s="84" t="s">
        <v>1600</v>
      </c>
      <c r="H93" s="84" t="s">
        <v>1601</v>
      </c>
      <c r="I93" s="84" t="s">
        <v>1602</v>
      </c>
      <c r="J93" s="84" t="s">
        <v>1603</v>
      </c>
      <c r="K93" s="84" t="s">
        <v>6011</v>
      </c>
    </row>
    <row r="94" spans="1:11" ht="99.75" x14ac:dyDescent="0.25">
      <c r="A94" s="83">
        <v>108</v>
      </c>
      <c r="B94" s="84" t="s">
        <v>1522</v>
      </c>
      <c r="C94" s="83" t="s">
        <v>0</v>
      </c>
      <c r="D94" s="84"/>
      <c r="E94" s="85">
        <v>46997</v>
      </c>
      <c r="F94" s="83">
        <v>4</v>
      </c>
      <c r="G94" s="84" t="s">
        <v>1525</v>
      </c>
      <c r="H94" s="84" t="s">
        <v>1526</v>
      </c>
      <c r="I94" s="84" t="s">
        <v>66</v>
      </c>
      <c r="J94" s="84" t="s">
        <v>1311</v>
      </c>
      <c r="K94" s="84" t="s">
        <v>5866</v>
      </c>
    </row>
    <row r="95" spans="1:11" ht="99.75" x14ac:dyDescent="0.25">
      <c r="A95" s="83">
        <v>108</v>
      </c>
      <c r="B95" s="84" t="s">
        <v>1522</v>
      </c>
      <c r="C95" s="83" t="s">
        <v>0</v>
      </c>
      <c r="D95" s="84"/>
      <c r="E95" s="85">
        <v>55721</v>
      </c>
      <c r="F95" s="83">
        <v>4</v>
      </c>
      <c r="G95" s="84" t="s">
        <v>1523</v>
      </c>
      <c r="H95" s="84" t="s">
        <v>1524</v>
      </c>
      <c r="I95" s="84" t="s">
        <v>66</v>
      </c>
      <c r="J95" s="84" t="s">
        <v>1311</v>
      </c>
      <c r="K95" s="84" t="s">
        <v>6305</v>
      </c>
    </row>
    <row r="96" spans="1:11" ht="71.25" x14ac:dyDescent="0.25">
      <c r="A96" s="83">
        <v>108</v>
      </c>
      <c r="B96" s="84" t="s">
        <v>1518</v>
      </c>
      <c r="C96" s="83" t="s">
        <v>0</v>
      </c>
      <c r="D96" s="84"/>
      <c r="E96" s="85">
        <v>54689</v>
      </c>
      <c r="F96" s="83">
        <v>4</v>
      </c>
      <c r="G96" s="84" t="s">
        <v>1519</v>
      </c>
      <c r="H96" s="84" t="s">
        <v>1520</v>
      </c>
      <c r="I96" s="84" t="s">
        <v>94</v>
      </c>
      <c r="J96" s="84" t="s">
        <v>1521</v>
      </c>
      <c r="K96" s="84" t="str">
        <f>"00049688"</f>
        <v>00049688</v>
      </c>
    </row>
    <row r="97" spans="1:11" ht="57" x14ac:dyDescent="0.25">
      <c r="A97" s="83">
        <v>108</v>
      </c>
      <c r="B97" s="84" t="s">
        <v>1572</v>
      </c>
      <c r="C97" s="83" t="s">
        <v>0</v>
      </c>
      <c r="D97" s="84"/>
      <c r="E97" s="85">
        <v>60283</v>
      </c>
      <c r="F97" s="83">
        <v>4</v>
      </c>
      <c r="G97" s="84" t="s">
        <v>1576</v>
      </c>
      <c r="H97" s="84" t="s">
        <v>1577</v>
      </c>
      <c r="I97" s="84" t="s">
        <v>61</v>
      </c>
      <c r="J97" s="84" t="s">
        <v>1578</v>
      </c>
      <c r="K97" s="84" t="s">
        <v>6306</v>
      </c>
    </row>
    <row r="98" spans="1:11" ht="57" x14ac:dyDescent="0.25">
      <c r="A98" s="83">
        <v>108</v>
      </c>
      <c r="B98" s="84" t="s">
        <v>966</v>
      </c>
      <c r="C98" s="83" t="s">
        <v>0</v>
      </c>
      <c r="D98" s="84"/>
      <c r="E98" s="85">
        <v>47263</v>
      </c>
      <c r="F98" s="83">
        <v>4</v>
      </c>
      <c r="G98" s="84" t="s">
        <v>1515</v>
      </c>
      <c r="H98" s="84" t="s">
        <v>1516</v>
      </c>
      <c r="I98" s="84" t="s">
        <v>66</v>
      </c>
      <c r="J98" s="84" t="s">
        <v>1517</v>
      </c>
      <c r="K98" s="84" t="str">
        <f>"00049903"</f>
        <v>00049903</v>
      </c>
    </row>
    <row r="99" spans="1:11" ht="42.75" x14ac:dyDescent="0.25">
      <c r="A99" s="83">
        <v>108</v>
      </c>
      <c r="B99" s="84" t="s">
        <v>1656</v>
      </c>
      <c r="C99" s="83" t="s">
        <v>0</v>
      </c>
      <c r="D99" s="84"/>
      <c r="E99" s="85">
        <v>30000</v>
      </c>
      <c r="F99" s="83">
        <v>4</v>
      </c>
      <c r="G99" s="84" t="s">
        <v>1657</v>
      </c>
      <c r="H99" s="84" t="s">
        <v>1658</v>
      </c>
      <c r="I99" s="84" t="s">
        <v>32</v>
      </c>
      <c r="J99" s="84" t="s">
        <v>742</v>
      </c>
      <c r="K99" s="84" t="str">
        <f>"00050791"</f>
        <v>00050791</v>
      </c>
    </row>
    <row r="100" spans="1:11" ht="57" x14ac:dyDescent="0.25">
      <c r="A100" s="83">
        <v>108</v>
      </c>
      <c r="B100" s="84" t="s">
        <v>1648</v>
      </c>
      <c r="C100" s="83" t="s">
        <v>0</v>
      </c>
      <c r="D100" s="84"/>
      <c r="E100" s="85">
        <v>12860</v>
      </c>
      <c r="F100" s="83">
        <v>4</v>
      </c>
      <c r="G100" s="84" t="s">
        <v>1537</v>
      </c>
      <c r="H100" s="84" t="s">
        <v>1649</v>
      </c>
      <c r="I100" s="84" t="s">
        <v>66</v>
      </c>
      <c r="J100" s="84" t="s">
        <v>99</v>
      </c>
      <c r="K100" s="84" t="str">
        <f>"00051629"</f>
        <v>00051629</v>
      </c>
    </row>
    <row r="101" spans="1:11" ht="57" x14ac:dyDescent="0.25">
      <c r="A101" s="83">
        <v>108</v>
      </c>
      <c r="B101" s="84" t="s">
        <v>128</v>
      </c>
      <c r="C101" s="83" t="s">
        <v>0</v>
      </c>
      <c r="D101" s="84"/>
      <c r="E101" s="85">
        <v>86546</v>
      </c>
      <c r="F101" s="83">
        <v>4</v>
      </c>
      <c r="G101" s="84" t="s">
        <v>1638</v>
      </c>
      <c r="H101" s="84" t="s">
        <v>1639</v>
      </c>
      <c r="I101" s="84" t="s">
        <v>1640</v>
      </c>
      <c r="J101" s="84" t="s">
        <v>1641</v>
      </c>
      <c r="K101" s="84" t="str">
        <f>"00050353"</f>
        <v>00050353</v>
      </c>
    </row>
    <row r="102" spans="1:11" ht="42.75" x14ac:dyDescent="0.25">
      <c r="A102" s="83">
        <v>108</v>
      </c>
      <c r="B102" s="84" t="s">
        <v>958</v>
      </c>
      <c r="C102" s="83" t="s">
        <v>0</v>
      </c>
      <c r="D102" s="84"/>
      <c r="E102" s="85">
        <v>89119</v>
      </c>
      <c r="F102" s="83">
        <v>4</v>
      </c>
      <c r="G102" s="84" t="s">
        <v>1644</v>
      </c>
      <c r="H102" s="84" t="s">
        <v>1645</v>
      </c>
      <c r="I102" s="84" t="s">
        <v>1582</v>
      </c>
      <c r="J102" s="84" t="s">
        <v>1646</v>
      </c>
      <c r="K102" s="84" t="s">
        <v>6307</v>
      </c>
    </row>
    <row r="103" spans="1:11" ht="57" x14ac:dyDescent="0.25">
      <c r="A103" s="83">
        <v>108</v>
      </c>
      <c r="B103" s="84" t="s">
        <v>1626</v>
      </c>
      <c r="C103" s="83" t="s">
        <v>0</v>
      </c>
      <c r="D103" s="84"/>
      <c r="E103" s="85">
        <v>25391</v>
      </c>
      <c r="F103" s="83">
        <v>4</v>
      </c>
      <c r="G103" s="84" t="s">
        <v>1642</v>
      </c>
      <c r="H103" s="84" t="s">
        <v>1643</v>
      </c>
      <c r="I103" s="84" t="s">
        <v>237</v>
      </c>
      <c r="J103" s="84" t="s">
        <v>540</v>
      </c>
      <c r="K103" s="84" t="s">
        <v>5867</v>
      </c>
    </row>
    <row r="104" spans="1:11" ht="71.25" x14ac:dyDescent="0.25">
      <c r="A104" s="83">
        <v>108</v>
      </c>
      <c r="B104" s="84" t="s">
        <v>1518</v>
      </c>
      <c r="C104" s="83" t="s">
        <v>0</v>
      </c>
      <c r="D104" s="84"/>
      <c r="E104" s="85">
        <v>69956</v>
      </c>
      <c r="F104" s="83">
        <v>4</v>
      </c>
      <c r="G104" s="84" t="s">
        <v>1519</v>
      </c>
      <c r="H104" s="84" t="s">
        <v>1647</v>
      </c>
      <c r="I104" s="84" t="s">
        <v>94</v>
      </c>
      <c r="J104" s="84" t="s">
        <v>1521</v>
      </c>
      <c r="K104" s="84" t="str">
        <f>"00049674"</f>
        <v>00049674</v>
      </c>
    </row>
    <row r="105" spans="1:11" ht="99.75" x14ac:dyDescent="0.25">
      <c r="A105" s="83">
        <v>108</v>
      </c>
      <c r="B105" s="84" t="s">
        <v>958</v>
      </c>
      <c r="C105" s="83" t="s">
        <v>0</v>
      </c>
      <c r="D105" s="84"/>
      <c r="E105" s="85">
        <v>81220</v>
      </c>
      <c r="F105" s="83">
        <v>4</v>
      </c>
      <c r="G105" s="84" t="s">
        <v>1650</v>
      </c>
      <c r="H105" s="84" t="s">
        <v>1651</v>
      </c>
      <c r="I105" s="84" t="s">
        <v>32</v>
      </c>
      <c r="J105" s="84" t="s">
        <v>1652</v>
      </c>
      <c r="K105" s="84" t="str">
        <f>"00050047"</f>
        <v>00050047</v>
      </c>
    </row>
    <row r="106" spans="1:11" ht="42.75" x14ac:dyDescent="0.25">
      <c r="A106" s="83">
        <v>108</v>
      </c>
      <c r="B106" s="84" t="s">
        <v>96</v>
      </c>
      <c r="C106" s="83" t="s">
        <v>0</v>
      </c>
      <c r="D106" s="84"/>
      <c r="E106" s="85">
        <v>12272</v>
      </c>
      <c r="F106" s="83">
        <v>4</v>
      </c>
      <c r="G106" s="84" t="s">
        <v>1611</v>
      </c>
      <c r="H106" s="84" t="s">
        <v>1612</v>
      </c>
      <c r="I106" s="84" t="s">
        <v>106</v>
      </c>
      <c r="J106" s="84" t="s">
        <v>1613</v>
      </c>
      <c r="K106" s="84" t="s">
        <v>6308</v>
      </c>
    </row>
    <row r="107" spans="1:11" ht="128.25" x14ac:dyDescent="0.25">
      <c r="A107" s="83">
        <v>108</v>
      </c>
      <c r="B107" s="84" t="s">
        <v>81</v>
      </c>
      <c r="C107" s="83" t="s">
        <v>0</v>
      </c>
      <c r="D107" s="84"/>
      <c r="E107" s="85">
        <v>123980</v>
      </c>
      <c r="F107" s="83">
        <v>4</v>
      </c>
      <c r="G107" s="84" t="s">
        <v>1614</v>
      </c>
      <c r="H107" s="84" t="s">
        <v>1615</v>
      </c>
      <c r="I107" s="84" t="s">
        <v>32</v>
      </c>
      <c r="J107" s="84" t="s">
        <v>1616</v>
      </c>
      <c r="K107" s="84" t="str">
        <f>"00050146"</f>
        <v>00050146</v>
      </c>
    </row>
    <row r="108" spans="1:11" ht="42.75" x14ac:dyDescent="0.25">
      <c r="A108" s="83">
        <v>108</v>
      </c>
      <c r="B108" s="84" t="s">
        <v>1626</v>
      </c>
      <c r="C108" s="83" t="s">
        <v>0</v>
      </c>
      <c r="D108" s="84"/>
      <c r="E108" s="85">
        <v>49523</v>
      </c>
      <c r="F108" s="83">
        <v>4</v>
      </c>
      <c r="G108" s="84" t="s">
        <v>1627</v>
      </c>
      <c r="H108" s="84" t="s">
        <v>1628</v>
      </c>
      <c r="I108" s="84" t="s">
        <v>66</v>
      </c>
      <c r="J108" s="84" t="s">
        <v>1629</v>
      </c>
      <c r="K108" s="84" t="s">
        <v>6309</v>
      </c>
    </row>
    <row r="109" spans="1:11" ht="42.75" x14ac:dyDescent="0.25">
      <c r="A109" s="83">
        <v>108</v>
      </c>
      <c r="B109" s="84" t="s">
        <v>1622</v>
      </c>
      <c r="C109" s="83" t="s">
        <v>0</v>
      </c>
      <c r="D109" s="84"/>
      <c r="E109" s="85">
        <v>74745</v>
      </c>
      <c r="F109" s="83">
        <v>4</v>
      </c>
      <c r="G109" s="84" t="s">
        <v>1623</v>
      </c>
      <c r="H109" s="84" t="s">
        <v>1624</v>
      </c>
      <c r="I109" s="84" t="s">
        <v>66</v>
      </c>
      <c r="J109" s="84" t="s">
        <v>1625</v>
      </c>
      <c r="K109" s="84" t="s">
        <v>6310</v>
      </c>
    </row>
    <row r="110" spans="1:11" ht="57" x14ac:dyDescent="0.25">
      <c r="A110" s="83">
        <v>108</v>
      </c>
      <c r="B110" s="84" t="s">
        <v>1550</v>
      </c>
      <c r="C110" s="83" t="s">
        <v>0</v>
      </c>
      <c r="D110" s="84"/>
      <c r="E110" s="85">
        <v>107751</v>
      </c>
      <c r="F110" s="83">
        <v>4</v>
      </c>
      <c r="G110" s="84" t="s">
        <v>1620</v>
      </c>
      <c r="H110" s="84" t="s">
        <v>22</v>
      </c>
      <c r="I110" s="84" t="s">
        <v>32</v>
      </c>
      <c r="J110" s="84" t="s">
        <v>1621</v>
      </c>
      <c r="K110" s="84" t="s">
        <v>6311</v>
      </c>
    </row>
    <row r="111" spans="1:11" ht="42.75" x14ac:dyDescent="0.25">
      <c r="A111" s="83">
        <v>108</v>
      </c>
      <c r="B111" s="84" t="s">
        <v>1617</v>
      </c>
      <c r="C111" s="83" t="s">
        <v>0</v>
      </c>
      <c r="D111" s="84"/>
      <c r="E111" s="85">
        <v>20350</v>
      </c>
      <c r="F111" s="83">
        <v>4</v>
      </c>
      <c r="G111" s="84" t="s">
        <v>1618</v>
      </c>
      <c r="H111" s="84" t="s">
        <v>1434</v>
      </c>
      <c r="I111" s="84" t="s">
        <v>94</v>
      </c>
      <c r="J111" s="84" t="s">
        <v>1619</v>
      </c>
      <c r="K111" s="84" t="s">
        <v>5868</v>
      </c>
    </row>
    <row r="112" spans="1:11" ht="85.5" x14ac:dyDescent="0.25">
      <c r="A112" s="83">
        <v>108</v>
      </c>
      <c r="B112" s="84" t="s">
        <v>1648</v>
      </c>
      <c r="C112" s="83" t="s">
        <v>0</v>
      </c>
      <c r="D112" s="84"/>
      <c r="E112" s="85">
        <v>35365</v>
      </c>
      <c r="F112" s="83">
        <v>4</v>
      </c>
      <c r="G112" s="84" t="s">
        <v>1653</v>
      </c>
      <c r="H112" s="84" t="s">
        <v>1654</v>
      </c>
      <c r="I112" s="84" t="s">
        <v>66</v>
      </c>
      <c r="J112" s="84" t="s">
        <v>1655</v>
      </c>
      <c r="K112" s="84" t="str">
        <f>"00051533"</f>
        <v>00051533</v>
      </c>
    </row>
    <row r="113" spans="1:11" ht="42.75" x14ac:dyDescent="0.25">
      <c r="A113" s="83">
        <v>108</v>
      </c>
      <c r="B113" s="84" t="s">
        <v>1518</v>
      </c>
      <c r="C113" s="83" t="s">
        <v>0</v>
      </c>
      <c r="D113" s="84"/>
      <c r="E113" s="85">
        <v>265694</v>
      </c>
      <c r="F113" s="83">
        <v>4</v>
      </c>
      <c r="G113" s="84" t="s">
        <v>1630</v>
      </c>
      <c r="H113" s="84" t="s">
        <v>1631</v>
      </c>
      <c r="I113" s="84" t="s">
        <v>1632</v>
      </c>
      <c r="J113" s="84" t="s">
        <v>1633</v>
      </c>
      <c r="K113" s="84" t="s">
        <v>6312</v>
      </c>
    </row>
    <row r="114" spans="1:11" ht="71.25" x14ac:dyDescent="0.25">
      <c r="A114" s="83">
        <v>108</v>
      </c>
      <c r="B114" s="84" t="s">
        <v>958</v>
      </c>
      <c r="C114" s="83" t="s">
        <v>0</v>
      </c>
      <c r="D114" s="84"/>
      <c r="E114" s="85">
        <v>10063</v>
      </c>
      <c r="F114" s="83">
        <v>4</v>
      </c>
      <c r="G114" s="84" t="s">
        <v>1547</v>
      </c>
      <c r="H114" s="84" t="s">
        <v>1548</v>
      </c>
      <c r="I114" s="84" t="s">
        <v>66</v>
      </c>
      <c r="J114" s="84" t="s">
        <v>1549</v>
      </c>
      <c r="K114" s="84" t="s">
        <v>6313</v>
      </c>
    </row>
    <row r="115" spans="1:11" ht="42.75" x14ac:dyDescent="0.25">
      <c r="A115" s="83">
        <v>108</v>
      </c>
      <c r="B115" s="84" t="s">
        <v>122</v>
      </c>
      <c r="C115" s="83" t="s">
        <v>0</v>
      </c>
      <c r="D115" s="84"/>
      <c r="E115" s="85">
        <v>28636</v>
      </c>
      <c r="F115" s="83">
        <v>4</v>
      </c>
      <c r="G115" s="84" t="s">
        <v>123</v>
      </c>
      <c r="H115" s="84" t="s">
        <v>124</v>
      </c>
      <c r="I115" s="84" t="s">
        <v>66</v>
      </c>
      <c r="J115" s="84" t="s">
        <v>125</v>
      </c>
      <c r="K115" s="84" t="s">
        <v>6314</v>
      </c>
    </row>
    <row r="116" spans="1:11" ht="42.75" x14ac:dyDescent="0.25">
      <c r="A116" s="83">
        <v>108</v>
      </c>
      <c r="B116" s="84" t="s">
        <v>103</v>
      </c>
      <c r="C116" s="83" t="s">
        <v>0</v>
      </c>
      <c r="D116" s="84"/>
      <c r="E116" s="85">
        <v>20423</v>
      </c>
      <c r="F116" s="83">
        <v>4</v>
      </c>
      <c r="G116" s="84" t="s">
        <v>123</v>
      </c>
      <c r="H116" s="84" t="s">
        <v>124</v>
      </c>
      <c r="I116" s="84" t="s">
        <v>66</v>
      </c>
      <c r="J116" s="84" t="s">
        <v>125</v>
      </c>
      <c r="K116" s="84" t="s">
        <v>6315</v>
      </c>
    </row>
    <row r="117" spans="1:11" ht="57" x14ac:dyDescent="0.25">
      <c r="A117" s="83">
        <v>108</v>
      </c>
      <c r="B117" s="84" t="s">
        <v>1634</v>
      </c>
      <c r="C117" s="83" t="s">
        <v>0</v>
      </c>
      <c r="D117" s="84"/>
      <c r="E117" s="85">
        <v>10307</v>
      </c>
      <c r="F117" s="83">
        <v>4</v>
      </c>
      <c r="G117" s="84" t="s">
        <v>1635</v>
      </c>
      <c r="H117" s="84" t="s">
        <v>1636</v>
      </c>
      <c r="I117" s="84" t="s">
        <v>32</v>
      </c>
      <c r="J117" s="84" t="s">
        <v>1637</v>
      </c>
      <c r="K117" s="84" t="str">
        <f>"00051961"</f>
        <v>00051961</v>
      </c>
    </row>
    <row r="118" spans="1:11" ht="42.75" x14ac:dyDescent="0.25">
      <c r="A118" s="83">
        <v>108</v>
      </c>
      <c r="B118" s="84" t="s">
        <v>942</v>
      </c>
      <c r="C118" s="83" t="s">
        <v>0</v>
      </c>
      <c r="D118" s="84"/>
      <c r="E118" s="85">
        <v>20209</v>
      </c>
      <c r="F118" s="83">
        <v>4</v>
      </c>
      <c r="G118" s="84" t="s">
        <v>123</v>
      </c>
      <c r="H118" s="84" t="s">
        <v>124</v>
      </c>
      <c r="I118" s="84" t="s">
        <v>66</v>
      </c>
      <c r="J118" s="84" t="s">
        <v>125</v>
      </c>
      <c r="K118" s="84" t="s">
        <v>6316</v>
      </c>
    </row>
    <row r="119" spans="1:11" ht="42.75" x14ac:dyDescent="0.25">
      <c r="A119" s="83">
        <v>108</v>
      </c>
      <c r="B119" s="84" t="s">
        <v>103</v>
      </c>
      <c r="C119" s="83" t="s">
        <v>0</v>
      </c>
      <c r="D119" s="84"/>
      <c r="E119" s="85">
        <v>86951</v>
      </c>
      <c r="F119" s="83">
        <v>4</v>
      </c>
      <c r="G119" s="84" t="s">
        <v>1544</v>
      </c>
      <c r="H119" s="84" t="s">
        <v>265</v>
      </c>
      <c r="I119" s="84" t="s">
        <v>242</v>
      </c>
      <c r="J119" s="84" t="s">
        <v>243</v>
      </c>
      <c r="K119" s="84" t="s">
        <v>6317</v>
      </c>
    </row>
    <row r="120" spans="1:11" ht="85.5" x14ac:dyDescent="0.25">
      <c r="A120" s="83">
        <v>108</v>
      </c>
      <c r="B120" s="84" t="s">
        <v>1550</v>
      </c>
      <c r="C120" s="83" t="s">
        <v>0</v>
      </c>
      <c r="D120" s="84"/>
      <c r="E120" s="85">
        <v>44767</v>
      </c>
      <c r="F120" s="83">
        <v>4</v>
      </c>
      <c r="G120" s="84" t="s">
        <v>1551</v>
      </c>
      <c r="H120" s="84" t="s">
        <v>1552</v>
      </c>
      <c r="I120" s="84" t="s">
        <v>32</v>
      </c>
      <c r="J120" s="84" t="s">
        <v>1553</v>
      </c>
      <c r="K120" s="76" t="s">
        <v>6318</v>
      </c>
    </row>
    <row r="121" spans="1:11" ht="42.75" x14ac:dyDescent="0.25">
      <c r="A121" s="83">
        <v>108</v>
      </c>
      <c r="B121" s="84" t="s">
        <v>81</v>
      </c>
      <c r="C121" s="83" t="s">
        <v>0</v>
      </c>
      <c r="D121" s="84"/>
      <c r="E121" s="85">
        <v>71299</v>
      </c>
      <c r="F121" s="83">
        <v>4</v>
      </c>
      <c r="G121" s="84" t="s">
        <v>5687</v>
      </c>
      <c r="H121" s="84" t="s">
        <v>5641</v>
      </c>
      <c r="I121" s="84" t="s">
        <v>66</v>
      </c>
      <c r="J121" s="84" t="s">
        <v>5688</v>
      </c>
      <c r="K121" s="20" t="s">
        <v>5869</v>
      </c>
    </row>
    <row r="122" spans="1:11" ht="71.25" x14ac:dyDescent="0.25">
      <c r="A122" s="83">
        <v>108</v>
      </c>
      <c r="B122" s="84" t="s">
        <v>1529</v>
      </c>
      <c r="C122" s="83" t="s">
        <v>0</v>
      </c>
      <c r="D122" s="84"/>
      <c r="E122" s="85">
        <v>50801</v>
      </c>
      <c r="F122" s="83">
        <v>7</v>
      </c>
      <c r="G122" s="84" t="s">
        <v>5689</v>
      </c>
      <c r="H122" s="84" t="s">
        <v>5642</v>
      </c>
      <c r="I122" s="84" t="s">
        <v>5690</v>
      </c>
      <c r="J122" s="84" t="s">
        <v>5691</v>
      </c>
      <c r="K122" s="20" t="s">
        <v>6012</v>
      </c>
    </row>
    <row r="123" spans="1:11" ht="57" x14ac:dyDescent="0.25">
      <c r="A123" s="83">
        <v>108</v>
      </c>
      <c r="B123" s="84" t="s">
        <v>132</v>
      </c>
      <c r="C123" s="83" t="s">
        <v>0</v>
      </c>
      <c r="D123" s="84"/>
      <c r="E123" s="85">
        <v>60000</v>
      </c>
      <c r="F123" s="83">
        <v>4</v>
      </c>
      <c r="G123" s="84" t="s">
        <v>133</v>
      </c>
      <c r="H123" s="84" t="s">
        <v>134</v>
      </c>
      <c r="I123" s="84" t="s">
        <v>135</v>
      </c>
      <c r="J123" s="84" t="s">
        <v>136</v>
      </c>
      <c r="K123" s="84" t="str">
        <f>"00047392"</f>
        <v>00047392</v>
      </c>
    </row>
    <row r="124" spans="1:11" ht="57" x14ac:dyDescent="0.25">
      <c r="A124" s="83">
        <v>108</v>
      </c>
      <c r="B124" s="84" t="s">
        <v>1659</v>
      </c>
      <c r="C124" s="83" t="s">
        <v>0</v>
      </c>
      <c r="D124" s="84"/>
      <c r="E124" s="85">
        <v>60000</v>
      </c>
      <c r="F124" s="83">
        <v>4</v>
      </c>
      <c r="G124" s="84" t="s">
        <v>1660</v>
      </c>
      <c r="H124" s="84" t="s">
        <v>1661</v>
      </c>
      <c r="I124" s="84" t="s">
        <v>32</v>
      </c>
      <c r="J124" s="84" t="s">
        <v>84</v>
      </c>
      <c r="K124" s="84" t="str">
        <f>"00047047"</f>
        <v>00047047</v>
      </c>
    </row>
    <row r="125" spans="1:11" ht="128.25" x14ac:dyDescent="0.25">
      <c r="A125" s="83">
        <v>108</v>
      </c>
      <c r="B125" s="84" t="s">
        <v>4400</v>
      </c>
      <c r="C125" s="83" t="s">
        <v>0</v>
      </c>
      <c r="D125" s="84"/>
      <c r="E125" s="85">
        <v>77634</v>
      </c>
      <c r="F125" s="83">
        <v>4</v>
      </c>
      <c r="G125" s="84" t="s">
        <v>4401</v>
      </c>
      <c r="H125" s="84" t="s">
        <v>1615</v>
      </c>
      <c r="I125" s="84" t="s">
        <v>32</v>
      </c>
      <c r="J125" s="84" t="s">
        <v>1616</v>
      </c>
      <c r="K125" s="84" t="str">
        <f>"00050146"</f>
        <v>00050146</v>
      </c>
    </row>
    <row r="126" spans="1:11" ht="71.25" x14ac:dyDescent="0.25">
      <c r="A126" s="83">
        <v>108</v>
      </c>
      <c r="B126" s="84" t="s">
        <v>4176</v>
      </c>
      <c r="C126" s="83" t="s">
        <v>0</v>
      </c>
      <c r="D126" s="84"/>
      <c r="E126" s="85">
        <v>7385</v>
      </c>
      <c r="F126" s="83">
        <v>4</v>
      </c>
      <c r="G126" s="84" t="s">
        <v>5643</v>
      </c>
      <c r="H126" s="84" t="s">
        <v>5644</v>
      </c>
      <c r="I126" s="84" t="s">
        <v>94</v>
      </c>
      <c r="J126" s="84" t="s">
        <v>957</v>
      </c>
      <c r="K126" s="84" t="str">
        <f>"00053001"</f>
        <v>00053001</v>
      </c>
    </row>
    <row r="127" spans="1:11" ht="57" x14ac:dyDescent="0.25">
      <c r="A127" s="83">
        <v>108</v>
      </c>
      <c r="B127" s="84" t="s">
        <v>4176</v>
      </c>
      <c r="C127" s="83" t="s">
        <v>0</v>
      </c>
      <c r="D127" s="84"/>
      <c r="E127" s="85">
        <v>99114</v>
      </c>
      <c r="F127" s="83">
        <v>4</v>
      </c>
      <c r="G127" s="84" t="s">
        <v>4415</v>
      </c>
      <c r="H127" s="84" t="s">
        <v>4416</v>
      </c>
      <c r="I127" s="84" t="s">
        <v>849</v>
      </c>
      <c r="J127" s="84" t="s">
        <v>1532</v>
      </c>
      <c r="K127" s="84" t="str">
        <f>"00050123"</f>
        <v>00050123</v>
      </c>
    </row>
    <row r="128" spans="1:11" ht="114" x14ac:dyDescent="0.25">
      <c r="A128" s="83">
        <v>108</v>
      </c>
      <c r="B128" s="84" t="s">
        <v>4208</v>
      </c>
      <c r="C128" s="83" t="s">
        <v>0</v>
      </c>
      <c r="D128" s="84"/>
      <c r="E128" s="85">
        <v>89911</v>
      </c>
      <c r="F128" s="83">
        <v>4</v>
      </c>
      <c r="G128" s="84" t="s">
        <v>4527</v>
      </c>
      <c r="H128" s="84" t="s">
        <v>4528</v>
      </c>
      <c r="I128" s="84" t="s">
        <v>3728</v>
      </c>
      <c r="J128" s="84" t="s">
        <v>4529</v>
      </c>
      <c r="K128" s="84" t="str">
        <f>"00048998"</f>
        <v>00048998</v>
      </c>
    </row>
    <row r="129" spans="1:11" ht="71.25" x14ac:dyDescent="0.25">
      <c r="A129" s="83">
        <v>108</v>
      </c>
      <c r="B129" s="84" t="s">
        <v>4176</v>
      </c>
      <c r="C129" s="83" t="s">
        <v>0</v>
      </c>
      <c r="D129" s="84"/>
      <c r="E129" s="85">
        <v>45172</v>
      </c>
      <c r="F129" s="83">
        <v>4</v>
      </c>
      <c r="G129" s="84" t="s">
        <v>5645</v>
      </c>
      <c r="H129" s="84" t="s">
        <v>4620</v>
      </c>
      <c r="I129" s="84" t="s">
        <v>5550</v>
      </c>
      <c r="J129" s="84" t="s">
        <v>5551</v>
      </c>
      <c r="K129" s="84" t="str">
        <f>"00052612"</f>
        <v>00052612</v>
      </c>
    </row>
    <row r="130" spans="1:11" ht="71.25" x14ac:dyDescent="0.25">
      <c r="A130" s="83">
        <v>108</v>
      </c>
      <c r="B130" s="84" t="s">
        <v>4538</v>
      </c>
      <c r="C130" s="83" t="s">
        <v>0</v>
      </c>
      <c r="D130" s="84"/>
      <c r="E130" s="85">
        <v>59828</v>
      </c>
      <c r="F130" s="83">
        <v>4</v>
      </c>
      <c r="G130" s="84" t="s">
        <v>4539</v>
      </c>
      <c r="H130" s="84" t="s">
        <v>2796</v>
      </c>
      <c r="I130" s="84" t="s">
        <v>4136</v>
      </c>
      <c r="J130" s="84" t="s">
        <v>4540</v>
      </c>
      <c r="K130" s="84" t="str">
        <f>"00049391"</f>
        <v>00049391</v>
      </c>
    </row>
    <row r="131" spans="1:11" ht="114" x14ac:dyDescent="0.25">
      <c r="A131" s="83">
        <v>108</v>
      </c>
      <c r="B131" s="84" t="s">
        <v>1626</v>
      </c>
      <c r="C131" s="83" t="s">
        <v>0</v>
      </c>
      <c r="D131" s="84"/>
      <c r="E131" s="85">
        <v>92444</v>
      </c>
      <c r="F131" s="83">
        <v>7</v>
      </c>
      <c r="G131" s="84" t="s">
        <v>5646</v>
      </c>
      <c r="H131" s="84" t="s">
        <v>5647</v>
      </c>
      <c r="I131" s="84" t="s">
        <v>66</v>
      </c>
      <c r="J131" s="84" t="s">
        <v>5648</v>
      </c>
      <c r="K131" s="84" t="s">
        <v>5870</v>
      </c>
    </row>
    <row r="132" spans="1:11" ht="128.25" x14ac:dyDescent="0.25">
      <c r="A132" s="83">
        <v>108</v>
      </c>
      <c r="B132" s="84" t="s">
        <v>5649</v>
      </c>
      <c r="C132" s="83" t="s">
        <v>0</v>
      </c>
      <c r="D132" s="84"/>
      <c r="E132" s="85">
        <v>58247</v>
      </c>
      <c r="F132" s="83">
        <v>4</v>
      </c>
      <c r="G132" s="84" t="s">
        <v>5650</v>
      </c>
      <c r="H132" s="84" t="s">
        <v>4065</v>
      </c>
      <c r="I132" s="84" t="s">
        <v>746</v>
      </c>
      <c r="J132" s="84" t="s">
        <v>5651</v>
      </c>
      <c r="K132" s="84" t="s">
        <v>5871</v>
      </c>
    </row>
    <row r="133" spans="1:11" ht="128.25" x14ac:dyDescent="0.25">
      <c r="A133" s="83">
        <v>108</v>
      </c>
      <c r="B133" s="84" t="s">
        <v>5649</v>
      </c>
      <c r="C133" s="83" t="s">
        <v>0</v>
      </c>
      <c r="D133" s="84"/>
      <c r="E133" s="85">
        <v>58247</v>
      </c>
      <c r="F133" s="83">
        <v>4</v>
      </c>
      <c r="G133" s="84" t="s">
        <v>5692</v>
      </c>
      <c r="H133" s="84" t="s">
        <v>4065</v>
      </c>
      <c r="I133" s="84" t="s">
        <v>746</v>
      </c>
      <c r="J133" s="84" t="s">
        <v>5651</v>
      </c>
      <c r="K133" s="98" t="s">
        <v>5872</v>
      </c>
    </row>
    <row r="134" spans="1:11" ht="42.75" x14ac:dyDescent="0.25">
      <c r="A134" s="83">
        <v>107</v>
      </c>
      <c r="B134" s="84" t="s">
        <v>1550</v>
      </c>
      <c r="C134" s="83" t="s">
        <v>0</v>
      </c>
      <c r="D134" s="84"/>
      <c r="E134" s="85">
        <v>-1</v>
      </c>
      <c r="F134" s="83"/>
      <c r="G134" s="84" t="s">
        <v>5652</v>
      </c>
      <c r="H134" s="84" t="s">
        <v>5653</v>
      </c>
      <c r="I134" s="84" t="s">
        <v>161</v>
      </c>
      <c r="J134" s="84" t="s">
        <v>1680</v>
      </c>
      <c r="K134" s="84" t="s">
        <v>5693</v>
      </c>
    </row>
    <row r="135" spans="1:11" ht="71.25" x14ac:dyDescent="0.25">
      <c r="A135" s="83">
        <v>107</v>
      </c>
      <c r="B135" s="84" t="s">
        <v>5654</v>
      </c>
      <c r="C135" s="83" t="s">
        <v>0</v>
      </c>
      <c r="D135" s="84"/>
      <c r="E135" s="85">
        <v>-200000</v>
      </c>
      <c r="F135" s="83"/>
      <c r="G135" s="84" t="s">
        <v>5655</v>
      </c>
      <c r="H135" s="84" t="s">
        <v>5656</v>
      </c>
      <c r="I135" s="84" t="s">
        <v>849</v>
      </c>
      <c r="J135" s="84" t="s">
        <v>976</v>
      </c>
      <c r="K135" s="84" t="s">
        <v>5694</v>
      </c>
    </row>
    <row r="136" spans="1:11" ht="28.5" x14ac:dyDescent="0.25">
      <c r="A136" s="83">
        <v>108</v>
      </c>
      <c r="B136" s="84" t="s">
        <v>12</v>
      </c>
      <c r="C136" s="83" t="s">
        <v>0</v>
      </c>
      <c r="D136" s="29">
        <v>685000</v>
      </c>
      <c r="E136" s="30">
        <v>0</v>
      </c>
      <c r="F136" s="83">
        <v>4</v>
      </c>
      <c r="G136" s="84" t="s">
        <v>835</v>
      </c>
      <c r="H136" s="84"/>
      <c r="I136" s="84" t="s">
        <v>14</v>
      </c>
      <c r="J136" s="84"/>
      <c r="K136" s="84" t="str">
        <f>"　"</f>
        <v>　</v>
      </c>
    </row>
    <row r="137" spans="1:11" ht="42.75" x14ac:dyDescent="0.25">
      <c r="A137" s="83">
        <v>108</v>
      </c>
      <c r="B137" s="84" t="s">
        <v>12</v>
      </c>
      <c r="C137" s="83" t="s">
        <v>0</v>
      </c>
      <c r="D137" s="84"/>
      <c r="E137" s="85">
        <v>221030</v>
      </c>
      <c r="F137" s="83">
        <v>4</v>
      </c>
      <c r="G137" s="84" t="s">
        <v>3256</v>
      </c>
      <c r="H137" s="84" t="s">
        <v>3257</v>
      </c>
      <c r="I137" s="84" t="s">
        <v>185</v>
      </c>
      <c r="J137" s="84" t="s">
        <v>270</v>
      </c>
      <c r="K137" s="84" t="str">
        <f>"00049360"</f>
        <v>00049360</v>
      </c>
    </row>
    <row r="138" spans="1:11" ht="57" x14ac:dyDescent="0.25">
      <c r="A138" s="83">
        <v>108</v>
      </c>
      <c r="B138" s="84" t="s">
        <v>12</v>
      </c>
      <c r="C138" s="83" t="s">
        <v>0</v>
      </c>
      <c r="D138" s="84"/>
      <c r="E138" s="85">
        <v>100761</v>
      </c>
      <c r="F138" s="83">
        <v>4</v>
      </c>
      <c r="G138" s="84" t="s">
        <v>3258</v>
      </c>
      <c r="H138" s="84" t="s">
        <v>2371</v>
      </c>
      <c r="I138" s="84" t="s">
        <v>80</v>
      </c>
      <c r="J138" s="84" t="s">
        <v>80</v>
      </c>
      <c r="K138" s="84" t="str">
        <f>"00048711"</f>
        <v>00048711</v>
      </c>
    </row>
    <row r="139" spans="1:11" ht="42.75" x14ac:dyDescent="0.25">
      <c r="A139" s="83">
        <v>108</v>
      </c>
      <c r="B139" s="84" t="s">
        <v>12</v>
      </c>
      <c r="C139" s="83" t="s">
        <v>0</v>
      </c>
      <c r="D139" s="84"/>
      <c r="E139" s="85">
        <v>25000</v>
      </c>
      <c r="F139" s="83">
        <v>4</v>
      </c>
      <c r="G139" s="84" t="s">
        <v>3259</v>
      </c>
      <c r="H139" s="84" t="s">
        <v>2386</v>
      </c>
      <c r="I139" s="84" t="s">
        <v>106</v>
      </c>
      <c r="J139" s="84" t="s">
        <v>3260</v>
      </c>
      <c r="K139" s="84" t="str">
        <f>"00049332"</f>
        <v>00049332</v>
      </c>
    </row>
    <row r="140" spans="1:11" ht="57" x14ac:dyDescent="0.25">
      <c r="A140" s="83">
        <v>108</v>
      </c>
      <c r="B140" s="84" t="s">
        <v>12</v>
      </c>
      <c r="C140" s="83" t="s">
        <v>0</v>
      </c>
      <c r="D140" s="84"/>
      <c r="E140" s="85">
        <v>77975</v>
      </c>
      <c r="F140" s="83">
        <v>4</v>
      </c>
      <c r="G140" s="84" t="s">
        <v>3261</v>
      </c>
      <c r="H140" s="84" t="s">
        <v>1434</v>
      </c>
      <c r="I140" s="84" t="s">
        <v>94</v>
      </c>
      <c r="J140" s="84" t="s">
        <v>355</v>
      </c>
      <c r="K140" s="84" t="str">
        <f>"00050645"</f>
        <v>00050645</v>
      </c>
    </row>
    <row r="141" spans="1:11" ht="42.75" x14ac:dyDescent="0.25">
      <c r="A141" s="83">
        <v>108</v>
      </c>
      <c r="B141" s="84" t="s">
        <v>12</v>
      </c>
      <c r="C141" s="83" t="s">
        <v>0</v>
      </c>
      <c r="D141" s="84"/>
      <c r="E141" s="85">
        <v>62552</v>
      </c>
      <c r="F141" s="83">
        <v>4</v>
      </c>
      <c r="G141" s="84" t="s">
        <v>3262</v>
      </c>
      <c r="H141" s="84" t="s">
        <v>3263</v>
      </c>
      <c r="I141" s="84" t="s">
        <v>32</v>
      </c>
      <c r="J141" s="84" t="s">
        <v>57</v>
      </c>
      <c r="K141" s="84" t="str">
        <f>"00052682"</f>
        <v>00052682</v>
      </c>
    </row>
    <row r="142" spans="1:11" ht="42.75" x14ac:dyDescent="0.25">
      <c r="A142" s="83">
        <v>108</v>
      </c>
      <c r="B142" s="84" t="s">
        <v>12</v>
      </c>
      <c r="C142" s="83" t="s">
        <v>0</v>
      </c>
      <c r="D142" s="84"/>
      <c r="E142" s="85">
        <v>42231</v>
      </c>
      <c r="F142" s="83">
        <v>4</v>
      </c>
      <c r="G142" s="84" t="s">
        <v>3264</v>
      </c>
      <c r="H142" s="84" t="s">
        <v>3265</v>
      </c>
      <c r="I142" s="84" t="s">
        <v>746</v>
      </c>
      <c r="J142" s="84" t="s">
        <v>3266</v>
      </c>
      <c r="K142" s="84" t="str">
        <f>"00052334"</f>
        <v>00052334</v>
      </c>
    </row>
    <row r="143" spans="1:11" ht="28.5" x14ac:dyDescent="0.25">
      <c r="A143" s="88">
        <v>108</v>
      </c>
      <c r="B143" s="89" t="s">
        <v>12</v>
      </c>
      <c r="C143" s="88" t="s">
        <v>0</v>
      </c>
      <c r="D143" s="90">
        <v>2200000</v>
      </c>
      <c r="E143" s="90"/>
      <c r="F143" s="88">
        <v>4</v>
      </c>
      <c r="G143" s="89" t="s">
        <v>13</v>
      </c>
      <c r="H143" s="89"/>
      <c r="I143" s="89" t="s">
        <v>14</v>
      </c>
      <c r="J143" s="89"/>
      <c r="K143" s="89" t="str">
        <f>"　"</f>
        <v>　</v>
      </c>
    </row>
    <row r="144" spans="1:11" ht="57" x14ac:dyDescent="0.25">
      <c r="A144" s="88">
        <v>108</v>
      </c>
      <c r="B144" s="89" t="s">
        <v>12</v>
      </c>
      <c r="C144" s="88" t="s">
        <v>0</v>
      </c>
      <c r="D144" s="95"/>
      <c r="E144" s="90">
        <v>178672</v>
      </c>
      <c r="F144" s="88">
        <v>4</v>
      </c>
      <c r="G144" s="89" t="s">
        <v>19</v>
      </c>
      <c r="H144" s="89" t="s">
        <v>20</v>
      </c>
      <c r="I144" s="89" t="s">
        <v>17</v>
      </c>
      <c r="J144" s="89" t="s">
        <v>18</v>
      </c>
      <c r="K144" s="89" t="str">
        <f>"00048190"</f>
        <v>00048190</v>
      </c>
    </row>
    <row r="145" spans="1:11" ht="156.75" x14ac:dyDescent="0.25">
      <c r="A145" s="88">
        <v>108</v>
      </c>
      <c r="B145" s="89" t="s">
        <v>12</v>
      </c>
      <c r="C145" s="88" t="s">
        <v>0</v>
      </c>
      <c r="D145" s="95"/>
      <c r="E145" s="90">
        <v>108785</v>
      </c>
      <c r="F145" s="88">
        <v>4</v>
      </c>
      <c r="G145" s="89" t="s">
        <v>23</v>
      </c>
      <c r="H145" s="89" t="s">
        <v>24</v>
      </c>
      <c r="I145" s="89" t="s">
        <v>17</v>
      </c>
      <c r="J145" s="89" t="s">
        <v>18</v>
      </c>
      <c r="K145" s="89" t="str">
        <f>"00048238"</f>
        <v>00048238</v>
      </c>
    </row>
    <row r="146" spans="1:11" ht="85.5" x14ac:dyDescent="0.25">
      <c r="A146" s="88">
        <v>108</v>
      </c>
      <c r="B146" s="89" t="s">
        <v>12</v>
      </c>
      <c r="C146" s="88" t="s">
        <v>0</v>
      </c>
      <c r="D146" s="95"/>
      <c r="E146" s="90">
        <v>216520</v>
      </c>
      <c r="F146" s="88">
        <v>4</v>
      </c>
      <c r="G146" s="89" t="s">
        <v>21</v>
      </c>
      <c r="H146" s="89" t="s">
        <v>22</v>
      </c>
      <c r="I146" s="89" t="s">
        <v>17</v>
      </c>
      <c r="J146" s="89" t="s">
        <v>18</v>
      </c>
      <c r="K146" s="89" t="str">
        <f>"00047062"</f>
        <v>00047062</v>
      </c>
    </row>
    <row r="147" spans="1:11" ht="156.75" x14ac:dyDescent="0.25">
      <c r="A147" s="88">
        <v>108</v>
      </c>
      <c r="B147" s="89" t="s">
        <v>12</v>
      </c>
      <c r="C147" s="88" t="s">
        <v>0</v>
      </c>
      <c r="D147" s="95"/>
      <c r="E147" s="90">
        <v>80000</v>
      </c>
      <c r="F147" s="88">
        <v>4</v>
      </c>
      <c r="G147" s="89" t="s">
        <v>23</v>
      </c>
      <c r="H147" s="89" t="s">
        <v>24</v>
      </c>
      <c r="I147" s="89" t="s">
        <v>17</v>
      </c>
      <c r="J147" s="89" t="s">
        <v>18</v>
      </c>
      <c r="K147" s="89" t="s">
        <v>6319</v>
      </c>
    </row>
    <row r="148" spans="1:11" ht="42.75" x14ac:dyDescent="0.25">
      <c r="A148" s="88">
        <v>108</v>
      </c>
      <c r="B148" s="89" t="s">
        <v>12</v>
      </c>
      <c r="C148" s="88" t="s">
        <v>0</v>
      </c>
      <c r="D148" s="95"/>
      <c r="E148" s="90">
        <v>87430</v>
      </c>
      <c r="F148" s="88">
        <v>4</v>
      </c>
      <c r="G148" s="89" t="s">
        <v>15</v>
      </c>
      <c r="H148" s="89" t="s">
        <v>16</v>
      </c>
      <c r="I148" s="89" t="s">
        <v>17</v>
      </c>
      <c r="J148" s="89" t="s">
        <v>18</v>
      </c>
      <c r="K148" s="89" t="str">
        <f>"00048274"</f>
        <v>00048274</v>
      </c>
    </row>
    <row r="149" spans="1:11" ht="71.25" x14ac:dyDescent="0.25">
      <c r="A149" s="88">
        <v>108</v>
      </c>
      <c r="B149" s="89" t="s">
        <v>12</v>
      </c>
      <c r="C149" s="88" t="s">
        <v>0</v>
      </c>
      <c r="D149" s="95"/>
      <c r="E149" s="90">
        <v>112581</v>
      </c>
      <c r="F149" s="88">
        <v>4</v>
      </c>
      <c r="G149" s="89" t="s">
        <v>1396</v>
      </c>
      <c r="H149" s="89" t="s">
        <v>1397</v>
      </c>
      <c r="I149" s="89" t="s">
        <v>32</v>
      </c>
      <c r="J149" s="89" t="s">
        <v>41</v>
      </c>
      <c r="K149" s="89" t="str">
        <f>"00050133"</f>
        <v>00050133</v>
      </c>
    </row>
    <row r="150" spans="1:11" ht="42.75" x14ac:dyDescent="0.25">
      <c r="A150" s="88">
        <v>108</v>
      </c>
      <c r="B150" s="89" t="s">
        <v>12</v>
      </c>
      <c r="C150" s="88" t="s">
        <v>0</v>
      </c>
      <c r="D150" s="95"/>
      <c r="E150" s="90">
        <v>186262</v>
      </c>
      <c r="F150" s="88">
        <v>4</v>
      </c>
      <c r="G150" s="89" t="s">
        <v>1398</v>
      </c>
      <c r="H150" s="89" t="s">
        <v>1399</v>
      </c>
      <c r="I150" s="89" t="s">
        <v>32</v>
      </c>
      <c r="J150" s="89" t="s">
        <v>1400</v>
      </c>
      <c r="K150" s="89" t="str">
        <f>"00052621"</f>
        <v>00052621</v>
      </c>
    </row>
    <row r="151" spans="1:11" ht="57" x14ac:dyDescent="0.25">
      <c r="A151" s="88">
        <v>108</v>
      </c>
      <c r="B151" s="89" t="s">
        <v>12</v>
      </c>
      <c r="C151" s="88" t="s">
        <v>0</v>
      </c>
      <c r="D151" s="95"/>
      <c r="E151" s="90">
        <v>133036</v>
      </c>
      <c r="F151" s="88">
        <v>4</v>
      </c>
      <c r="G151" s="89" t="s">
        <v>1401</v>
      </c>
      <c r="H151" s="89" t="s">
        <v>1402</v>
      </c>
      <c r="I151" s="89" t="s">
        <v>242</v>
      </c>
      <c r="J151" s="89" t="s">
        <v>1403</v>
      </c>
      <c r="K151" s="89" t="str">
        <f>"00051262"</f>
        <v>00051262</v>
      </c>
    </row>
    <row r="152" spans="1:11" ht="71.25" x14ac:dyDescent="0.25">
      <c r="A152" s="88">
        <v>108</v>
      </c>
      <c r="B152" s="89" t="s">
        <v>12</v>
      </c>
      <c r="C152" s="88" t="s">
        <v>0</v>
      </c>
      <c r="D152" s="95"/>
      <c r="E152" s="90">
        <v>65575</v>
      </c>
      <c r="F152" s="88">
        <v>4</v>
      </c>
      <c r="G152" s="89" t="s">
        <v>1404</v>
      </c>
      <c r="H152" s="89" t="s">
        <v>1405</v>
      </c>
      <c r="I152" s="89" t="s">
        <v>32</v>
      </c>
      <c r="J152" s="89" t="s">
        <v>1400</v>
      </c>
      <c r="K152" s="89" t="str">
        <f>"00052849"</f>
        <v>00052849</v>
      </c>
    </row>
    <row r="153" spans="1:11" ht="71.25" x14ac:dyDescent="0.25">
      <c r="A153" s="88">
        <v>108</v>
      </c>
      <c r="B153" s="89" t="s">
        <v>12</v>
      </c>
      <c r="C153" s="88" t="s">
        <v>0</v>
      </c>
      <c r="D153" s="95"/>
      <c r="E153" s="90">
        <v>129482</v>
      </c>
      <c r="F153" s="88">
        <v>4</v>
      </c>
      <c r="G153" s="89" t="s">
        <v>1406</v>
      </c>
      <c r="H153" s="89" t="s">
        <v>1402</v>
      </c>
      <c r="I153" s="89" t="s">
        <v>242</v>
      </c>
      <c r="J153" s="89" t="s">
        <v>1403</v>
      </c>
      <c r="K153" s="89" t="str">
        <f>"00051252"</f>
        <v>00051252</v>
      </c>
    </row>
    <row r="154" spans="1:11" ht="42.75" x14ac:dyDescent="0.25">
      <c r="A154" s="88">
        <v>108</v>
      </c>
      <c r="B154" s="89" t="s">
        <v>12</v>
      </c>
      <c r="C154" s="88" t="s">
        <v>0</v>
      </c>
      <c r="D154" s="95"/>
      <c r="E154" s="90">
        <v>112817</v>
      </c>
      <c r="F154" s="88">
        <v>4</v>
      </c>
      <c r="G154" s="89" t="s">
        <v>1407</v>
      </c>
      <c r="H154" s="89" t="s">
        <v>1402</v>
      </c>
      <c r="I154" s="89" t="s">
        <v>242</v>
      </c>
      <c r="J154" s="89" t="s">
        <v>1403</v>
      </c>
      <c r="K154" s="89" t="str">
        <f>"00046328"</f>
        <v>00046328</v>
      </c>
    </row>
    <row r="155" spans="1:11" ht="57" x14ac:dyDescent="0.25">
      <c r="A155" s="88">
        <v>108</v>
      </c>
      <c r="B155" s="89" t="s">
        <v>12</v>
      </c>
      <c r="C155" s="88" t="s">
        <v>0</v>
      </c>
      <c r="D155" s="95"/>
      <c r="E155" s="90">
        <v>59762</v>
      </c>
      <c r="F155" s="88">
        <v>4</v>
      </c>
      <c r="G155" s="89" t="s">
        <v>1408</v>
      </c>
      <c r="H155" s="89" t="s">
        <v>1399</v>
      </c>
      <c r="I155" s="89" t="s">
        <v>32</v>
      </c>
      <c r="J155" s="89" t="s">
        <v>1400</v>
      </c>
      <c r="K155" s="89" t="str">
        <f>"00052850"</f>
        <v>00052850</v>
      </c>
    </row>
    <row r="156" spans="1:11" ht="42.75" x14ac:dyDescent="0.25">
      <c r="A156" s="88">
        <v>108</v>
      </c>
      <c r="B156" s="89" t="s">
        <v>12</v>
      </c>
      <c r="C156" s="88" t="s">
        <v>0</v>
      </c>
      <c r="D156" s="95"/>
      <c r="E156" s="90">
        <v>95000</v>
      </c>
      <c r="F156" s="88">
        <v>4</v>
      </c>
      <c r="G156" s="89" t="s">
        <v>1409</v>
      </c>
      <c r="H156" s="89" t="s">
        <v>1410</v>
      </c>
      <c r="I156" s="89" t="s">
        <v>242</v>
      </c>
      <c r="J156" s="89" t="s">
        <v>1403</v>
      </c>
      <c r="K156" s="89" t="str">
        <f>"00049819"</f>
        <v>00049819</v>
      </c>
    </row>
    <row r="157" spans="1:11" ht="42.75" x14ac:dyDescent="0.25">
      <c r="A157" s="88">
        <v>108</v>
      </c>
      <c r="B157" s="89" t="s">
        <v>12</v>
      </c>
      <c r="C157" s="88" t="s">
        <v>0</v>
      </c>
      <c r="D157" s="95"/>
      <c r="E157" s="90">
        <v>128171</v>
      </c>
      <c r="F157" s="88">
        <v>4</v>
      </c>
      <c r="G157" s="89" t="s">
        <v>1411</v>
      </c>
      <c r="H157" s="89" t="s">
        <v>1412</v>
      </c>
      <c r="I157" s="89" t="s">
        <v>665</v>
      </c>
      <c r="J157" s="89" t="s">
        <v>1413</v>
      </c>
      <c r="K157" s="89" t="str">
        <f>"00052555"</f>
        <v>00052555</v>
      </c>
    </row>
    <row r="158" spans="1:11" ht="42.75" x14ac:dyDescent="0.25">
      <c r="A158" s="88">
        <v>108</v>
      </c>
      <c r="B158" s="89" t="s">
        <v>12</v>
      </c>
      <c r="C158" s="88" t="s">
        <v>0</v>
      </c>
      <c r="D158" s="95"/>
      <c r="E158" s="90">
        <v>7506</v>
      </c>
      <c r="F158" s="88">
        <v>4</v>
      </c>
      <c r="G158" s="89" t="s">
        <v>1414</v>
      </c>
      <c r="H158" s="89" t="s">
        <v>1415</v>
      </c>
      <c r="I158" s="89" t="s">
        <v>66</v>
      </c>
      <c r="J158" s="89" t="s">
        <v>332</v>
      </c>
      <c r="K158" s="89" t="str">
        <f>"00052691"</f>
        <v>00052691</v>
      </c>
    </row>
    <row r="159" spans="1:11" ht="42.75" x14ac:dyDescent="0.25">
      <c r="A159" s="88">
        <v>108</v>
      </c>
      <c r="B159" s="89" t="s">
        <v>12</v>
      </c>
      <c r="C159" s="88" t="s">
        <v>0</v>
      </c>
      <c r="D159" s="95"/>
      <c r="E159" s="90">
        <v>75000</v>
      </c>
      <c r="F159" s="88">
        <v>4</v>
      </c>
      <c r="G159" s="89" t="s">
        <v>1416</v>
      </c>
      <c r="H159" s="89" t="s">
        <v>1417</v>
      </c>
      <c r="I159" s="89" t="s">
        <v>242</v>
      </c>
      <c r="J159" s="89" t="s">
        <v>1403</v>
      </c>
      <c r="K159" s="89" t="str">
        <f>"00051011"</f>
        <v>00051011</v>
      </c>
    </row>
    <row r="160" spans="1:11" ht="42.75" x14ac:dyDescent="0.25">
      <c r="A160" s="88">
        <v>108</v>
      </c>
      <c r="B160" s="89" t="s">
        <v>12</v>
      </c>
      <c r="C160" s="88" t="s">
        <v>0</v>
      </c>
      <c r="D160" s="95"/>
      <c r="E160" s="90">
        <v>80000</v>
      </c>
      <c r="F160" s="88">
        <v>4</v>
      </c>
      <c r="G160" s="89" t="s">
        <v>1418</v>
      </c>
      <c r="H160" s="89" t="s">
        <v>1417</v>
      </c>
      <c r="I160" s="89" t="s">
        <v>242</v>
      </c>
      <c r="J160" s="89" t="s">
        <v>1403</v>
      </c>
      <c r="K160" s="89" t="str">
        <f>"00051044"</f>
        <v>00051044</v>
      </c>
    </row>
    <row r="161" spans="1:11" ht="42.75" x14ac:dyDescent="0.25">
      <c r="A161" s="88">
        <v>108</v>
      </c>
      <c r="B161" s="89" t="s">
        <v>12</v>
      </c>
      <c r="C161" s="88" t="s">
        <v>0</v>
      </c>
      <c r="D161" s="95"/>
      <c r="E161" s="90">
        <v>50000</v>
      </c>
      <c r="F161" s="88">
        <v>4</v>
      </c>
      <c r="G161" s="89" t="s">
        <v>1419</v>
      </c>
      <c r="H161" s="89" t="s">
        <v>1405</v>
      </c>
      <c r="I161" s="89" t="s">
        <v>32</v>
      </c>
      <c r="J161" s="89" t="s">
        <v>1400</v>
      </c>
      <c r="K161" s="89" t="str">
        <f>"00052758"</f>
        <v>00052758</v>
      </c>
    </row>
    <row r="162" spans="1:11" ht="28.5" x14ac:dyDescent="0.25">
      <c r="A162" s="88">
        <v>108</v>
      </c>
      <c r="B162" s="89" t="s">
        <v>12</v>
      </c>
      <c r="C162" s="88" t="s">
        <v>0</v>
      </c>
      <c r="D162" s="90">
        <v>75400000</v>
      </c>
      <c r="E162" s="90"/>
      <c r="F162" s="88">
        <v>4</v>
      </c>
      <c r="G162" s="89" t="s">
        <v>52</v>
      </c>
      <c r="H162" s="89"/>
      <c r="I162" s="89" t="s">
        <v>53</v>
      </c>
      <c r="J162" s="89"/>
      <c r="K162" s="89" t="str">
        <f>"　"</f>
        <v>　</v>
      </c>
    </row>
    <row r="163" spans="1:11" ht="42.75" x14ac:dyDescent="0.25">
      <c r="A163" s="88">
        <v>108</v>
      </c>
      <c r="B163" s="89" t="s">
        <v>166</v>
      </c>
      <c r="C163" s="88" t="s">
        <v>0</v>
      </c>
      <c r="D163" s="95"/>
      <c r="E163" s="90">
        <v>60000</v>
      </c>
      <c r="F163" s="88">
        <v>4</v>
      </c>
      <c r="G163" s="89" t="s">
        <v>167</v>
      </c>
      <c r="H163" s="89" t="s">
        <v>168</v>
      </c>
      <c r="I163" s="89" t="s">
        <v>32</v>
      </c>
      <c r="J163" s="89" t="s">
        <v>169</v>
      </c>
      <c r="K163" s="89" t="s">
        <v>6727</v>
      </c>
    </row>
    <row r="164" spans="1:11" ht="128.25" x14ac:dyDescent="0.25">
      <c r="A164" s="88">
        <v>108</v>
      </c>
      <c r="B164" s="89" t="s">
        <v>158</v>
      </c>
      <c r="C164" s="88" t="s">
        <v>0</v>
      </c>
      <c r="D164" s="95"/>
      <c r="E164" s="90">
        <v>70000</v>
      </c>
      <c r="F164" s="88">
        <v>4</v>
      </c>
      <c r="G164" s="89" t="s">
        <v>159</v>
      </c>
      <c r="H164" s="89" t="s">
        <v>160</v>
      </c>
      <c r="I164" s="89" t="s">
        <v>161</v>
      </c>
      <c r="J164" s="89" t="s">
        <v>162</v>
      </c>
      <c r="K164" s="89" t="s">
        <v>6726</v>
      </c>
    </row>
    <row r="165" spans="1:11" ht="85.5" x14ac:dyDescent="0.25">
      <c r="A165" s="88">
        <v>108</v>
      </c>
      <c r="B165" s="89" t="s">
        <v>145</v>
      </c>
      <c r="C165" s="88" t="s">
        <v>0</v>
      </c>
      <c r="D165" s="95"/>
      <c r="E165" s="90">
        <v>18108</v>
      </c>
      <c r="F165" s="88">
        <v>4</v>
      </c>
      <c r="G165" s="89" t="s">
        <v>154</v>
      </c>
      <c r="H165" s="89" t="s">
        <v>155</v>
      </c>
      <c r="I165" s="89" t="s">
        <v>156</v>
      </c>
      <c r="J165" s="89" t="s">
        <v>157</v>
      </c>
      <c r="K165" s="89" t="s">
        <v>6725</v>
      </c>
    </row>
    <row r="166" spans="1:11" ht="99.75" x14ac:dyDescent="0.25">
      <c r="A166" s="88">
        <v>108</v>
      </c>
      <c r="B166" s="89" t="s">
        <v>141</v>
      </c>
      <c r="C166" s="88" t="s">
        <v>0</v>
      </c>
      <c r="D166" s="95"/>
      <c r="E166" s="90">
        <v>88024</v>
      </c>
      <c r="F166" s="88">
        <v>4</v>
      </c>
      <c r="G166" s="89" t="s">
        <v>142</v>
      </c>
      <c r="H166" s="89" t="s">
        <v>143</v>
      </c>
      <c r="I166" s="89" t="s">
        <v>32</v>
      </c>
      <c r="J166" s="89" t="s">
        <v>144</v>
      </c>
      <c r="K166" s="89" t="s">
        <v>6724</v>
      </c>
    </row>
    <row r="167" spans="1:11" ht="42.75" x14ac:dyDescent="0.25">
      <c r="A167" s="88">
        <v>108</v>
      </c>
      <c r="B167" s="89" t="s">
        <v>137</v>
      </c>
      <c r="C167" s="88" t="s">
        <v>0</v>
      </c>
      <c r="D167" s="95"/>
      <c r="E167" s="90">
        <v>71887</v>
      </c>
      <c r="F167" s="88">
        <v>4</v>
      </c>
      <c r="G167" s="89" t="s">
        <v>138</v>
      </c>
      <c r="H167" s="89" t="s">
        <v>139</v>
      </c>
      <c r="I167" s="89" t="s">
        <v>113</v>
      </c>
      <c r="J167" s="89" t="s">
        <v>140</v>
      </c>
      <c r="K167" s="89" t="s">
        <v>5875</v>
      </c>
    </row>
    <row r="168" spans="1:11" ht="42.75" x14ac:dyDescent="0.25">
      <c r="A168" s="88">
        <v>108</v>
      </c>
      <c r="B168" s="89" t="s">
        <v>145</v>
      </c>
      <c r="C168" s="88" t="s">
        <v>0</v>
      </c>
      <c r="D168" s="95"/>
      <c r="E168" s="90">
        <v>8001</v>
      </c>
      <c r="F168" s="88">
        <v>4</v>
      </c>
      <c r="G168" s="89" t="s">
        <v>146</v>
      </c>
      <c r="H168" s="89" t="s">
        <v>147</v>
      </c>
      <c r="I168" s="89" t="s">
        <v>66</v>
      </c>
      <c r="J168" s="89" t="s">
        <v>148</v>
      </c>
      <c r="K168" s="89" t="s">
        <v>5873</v>
      </c>
    </row>
    <row r="169" spans="1:11" ht="57" x14ac:dyDescent="0.25">
      <c r="A169" s="88">
        <v>108</v>
      </c>
      <c r="B169" s="89" t="s">
        <v>149</v>
      </c>
      <c r="C169" s="88" t="s">
        <v>0</v>
      </c>
      <c r="D169" s="95"/>
      <c r="E169" s="90">
        <v>9588</v>
      </c>
      <c r="F169" s="88">
        <v>4</v>
      </c>
      <c r="G169" s="89" t="s">
        <v>163</v>
      </c>
      <c r="H169" s="89" t="s">
        <v>164</v>
      </c>
      <c r="I169" s="89" t="s">
        <v>66</v>
      </c>
      <c r="J169" s="89" t="s">
        <v>165</v>
      </c>
      <c r="K169" s="89" t="s">
        <v>5874</v>
      </c>
    </row>
    <row r="170" spans="1:11" ht="42.75" x14ac:dyDescent="0.25">
      <c r="A170" s="88">
        <v>108</v>
      </c>
      <c r="B170" s="89" t="s">
        <v>149</v>
      </c>
      <c r="C170" s="88" t="s">
        <v>0</v>
      </c>
      <c r="D170" s="95"/>
      <c r="E170" s="90">
        <v>30731</v>
      </c>
      <c r="F170" s="88">
        <v>4</v>
      </c>
      <c r="G170" s="89" t="s">
        <v>150</v>
      </c>
      <c r="H170" s="89" t="s">
        <v>151</v>
      </c>
      <c r="I170" s="89" t="s">
        <v>152</v>
      </c>
      <c r="J170" s="89" t="s">
        <v>153</v>
      </c>
      <c r="K170" s="89" t="s">
        <v>5876</v>
      </c>
    </row>
    <row r="171" spans="1:11" ht="57" x14ac:dyDescent="0.25">
      <c r="A171" s="88">
        <v>108</v>
      </c>
      <c r="B171" s="89" t="s">
        <v>1674</v>
      </c>
      <c r="C171" s="88" t="s">
        <v>0</v>
      </c>
      <c r="D171" s="95"/>
      <c r="E171" s="90">
        <v>35000</v>
      </c>
      <c r="F171" s="88">
        <v>4</v>
      </c>
      <c r="G171" s="89" t="s">
        <v>1675</v>
      </c>
      <c r="H171" s="89" t="s">
        <v>1676</v>
      </c>
      <c r="I171" s="89" t="s">
        <v>106</v>
      </c>
      <c r="J171" s="89" t="s">
        <v>107</v>
      </c>
      <c r="K171" s="89" t="s">
        <v>6723</v>
      </c>
    </row>
    <row r="172" spans="1:11" ht="42.75" x14ac:dyDescent="0.25">
      <c r="A172" s="88">
        <v>108</v>
      </c>
      <c r="B172" s="89" t="s">
        <v>149</v>
      </c>
      <c r="C172" s="88" t="s">
        <v>0</v>
      </c>
      <c r="D172" s="95"/>
      <c r="E172" s="90">
        <v>22625</v>
      </c>
      <c r="F172" s="88">
        <v>4</v>
      </c>
      <c r="G172" s="89" t="s">
        <v>1709</v>
      </c>
      <c r="H172" s="89" t="s">
        <v>1710</v>
      </c>
      <c r="I172" s="89" t="s">
        <v>152</v>
      </c>
      <c r="J172" s="89" t="s">
        <v>1711</v>
      </c>
      <c r="K172" s="89" t="s">
        <v>5877</v>
      </c>
    </row>
    <row r="173" spans="1:11" ht="42.75" x14ac:dyDescent="0.25">
      <c r="A173" s="88">
        <v>108</v>
      </c>
      <c r="B173" s="89" t="s">
        <v>1712</v>
      </c>
      <c r="C173" s="88" t="s">
        <v>0</v>
      </c>
      <c r="D173" s="95"/>
      <c r="E173" s="90">
        <v>41708</v>
      </c>
      <c r="F173" s="88">
        <v>4</v>
      </c>
      <c r="G173" s="89" t="s">
        <v>1713</v>
      </c>
      <c r="H173" s="89" t="s">
        <v>1714</v>
      </c>
      <c r="I173" s="89" t="s">
        <v>237</v>
      </c>
      <c r="J173" s="89" t="s">
        <v>1715</v>
      </c>
      <c r="K173" s="89" t="s">
        <v>5878</v>
      </c>
    </row>
    <row r="174" spans="1:11" ht="57" x14ac:dyDescent="0.25">
      <c r="A174" s="88">
        <v>108</v>
      </c>
      <c r="B174" s="89" t="s">
        <v>1662</v>
      </c>
      <c r="C174" s="88" t="s">
        <v>0</v>
      </c>
      <c r="D174" s="95"/>
      <c r="E174" s="90">
        <v>61923</v>
      </c>
      <c r="F174" s="88">
        <v>4</v>
      </c>
      <c r="G174" s="89" t="s">
        <v>1663</v>
      </c>
      <c r="H174" s="89" t="s">
        <v>1664</v>
      </c>
      <c r="I174" s="89" t="s">
        <v>32</v>
      </c>
      <c r="J174" s="89" t="s">
        <v>262</v>
      </c>
      <c r="K174" s="89" t="s">
        <v>5879</v>
      </c>
    </row>
    <row r="175" spans="1:11" ht="99.75" x14ac:dyDescent="0.25">
      <c r="A175" s="88">
        <v>108</v>
      </c>
      <c r="B175" s="89" t="s">
        <v>1665</v>
      </c>
      <c r="C175" s="88" t="s">
        <v>0</v>
      </c>
      <c r="D175" s="95"/>
      <c r="E175" s="90">
        <v>12000</v>
      </c>
      <c r="F175" s="88">
        <v>4</v>
      </c>
      <c r="G175" s="89" t="s">
        <v>1666</v>
      </c>
      <c r="H175" s="89" t="s">
        <v>1667</v>
      </c>
      <c r="I175" s="89" t="s">
        <v>80</v>
      </c>
      <c r="J175" s="89" t="s">
        <v>80</v>
      </c>
      <c r="K175" s="89" t="s">
        <v>6722</v>
      </c>
    </row>
    <row r="176" spans="1:11" ht="57" x14ac:dyDescent="0.25">
      <c r="A176" s="88">
        <v>108</v>
      </c>
      <c r="B176" s="89" t="s">
        <v>1668</v>
      </c>
      <c r="C176" s="88" t="s">
        <v>0</v>
      </c>
      <c r="D176" s="95"/>
      <c r="E176" s="90">
        <v>60000</v>
      </c>
      <c r="F176" s="88">
        <v>4</v>
      </c>
      <c r="G176" s="89" t="s">
        <v>1669</v>
      </c>
      <c r="H176" s="89" t="s">
        <v>1670</v>
      </c>
      <c r="I176" s="89" t="s">
        <v>185</v>
      </c>
      <c r="J176" s="89" t="s">
        <v>270</v>
      </c>
      <c r="K176" s="89" t="s">
        <v>6721</v>
      </c>
    </row>
    <row r="177" spans="1:11" ht="42.75" x14ac:dyDescent="0.25">
      <c r="A177" s="88">
        <v>108</v>
      </c>
      <c r="B177" s="89" t="s">
        <v>1671</v>
      </c>
      <c r="C177" s="88" t="s">
        <v>0</v>
      </c>
      <c r="D177" s="95"/>
      <c r="E177" s="90">
        <v>70000</v>
      </c>
      <c r="F177" s="88">
        <v>4</v>
      </c>
      <c r="G177" s="89" t="s">
        <v>1672</v>
      </c>
      <c r="H177" s="89" t="s">
        <v>1673</v>
      </c>
      <c r="I177" s="89" t="s">
        <v>32</v>
      </c>
      <c r="J177" s="89" t="s">
        <v>44</v>
      </c>
      <c r="K177" s="89" t="s">
        <v>5984</v>
      </c>
    </row>
    <row r="178" spans="1:11" ht="85.5" x14ac:dyDescent="0.25">
      <c r="A178" s="88">
        <v>108</v>
      </c>
      <c r="B178" s="89" t="s">
        <v>1681</v>
      </c>
      <c r="C178" s="88" t="s">
        <v>0</v>
      </c>
      <c r="D178" s="95"/>
      <c r="E178" s="90">
        <v>25000</v>
      </c>
      <c r="F178" s="88">
        <v>4</v>
      </c>
      <c r="G178" s="89" t="s">
        <v>1682</v>
      </c>
      <c r="H178" s="89" t="s">
        <v>1683</v>
      </c>
      <c r="I178" s="89" t="s">
        <v>237</v>
      </c>
      <c r="J178" s="89" t="s">
        <v>338</v>
      </c>
      <c r="K178" s="89" t="s">
        <v>5880</v>
      </c>
    </row>
    <row r="179" spans="1:11" ht="99.75" x14ac:dyDescent="0.25">
      <c r="A179" s="88">
        <v>108</v>
      </c>
      <c r="B179" s="89" t="s">
        <v>1677</v>
      </c>
      <c r="C179" s="88" t="s">
        <v>0</v>
      </c>
      <c r="D179" s="95"/>
      <c r="E179" s="90">
        <v>73981</v>
      </c>
      <c r="F179" s="88">
        <v>4</v>
      </c>
      <c r="G179" s="89" t="s">
        <v>1701</v>
      </c>
      <c r="H179" s="89" t="s">
        <v>1702</v>
      </c>
      <c r="I179" s="89" t="s">
        <v>1703</v>
      </c>
      <c r="J179" s="89" t="s">
        <v>1704</v>
      </c>
      <c r="K179" s="89" t="s">
        <v>6720</v>
      </c>
    </row>
    <row r="180" spans="1:11" ht="85.5" x14ac:dyDescent="0.25">
      <c r="A180" s="88">
        <v>108</v>
      </c>
      <c r="B180" s="89" t="s">
        <v>145</v>
      </c>
      <c r="C180" s="88" t="s">
        <v>0</v>
      </c>
      <c r="D180" s="95"/>
      <c r="E180" s="90">
        <v>72062</v>
      </c>
      <c r="F180" s="88">
        <v>4</v>
      </c>
      <c r="G180" s="89" t="s">
        <v>1698</v>
      </c>
      <c r="H180" s="89" t="s">
        <v>1699</v>
      </c>
      <c r="I180" s="89" t="s">
        <v>237</v>
      </c>
      <c r="J180" s="89" t="s">
        <v>1700</v>
      </c>
      <c r="K180" s="89" t="s">
        <v>6719</v>
      </c>
    </row>
    <row r="181" spans="1:11" ht="99.75" x14ac:dyDescent="0.25">
      <c r="A181" s="88">
        <v>108</v>
      </c>
      <c r="B181" s="89" t="s">
        <v>1665</v>
      </c>
      <c r="C181" s="88" t="s">
        <v>0</v>
      </c>
      <c r="D181" s="95"/>
      <c r="E181" s="90">
        <v>49005</v>
      </c>
      <c r="F181" s="88">
        <v>4</v>
      </c>
      <c r="G181" s="89" t="s">
        <v>1666</v>
      </c>
      <c r="H181" s="89" t="s">
        <v>1667</v>
      </c>
      <c r="I181" s="89" t="s">
        <v>80</v>
      </c>
      <c r="J181" s="89" t="s">
        <v>80</v>
      </c>
      <c r="K181" s="89" t="s">
        <v>6718</v>
      </c>
    </row>
    <row r="182" spans="1:11" ht="71.25" x14ac:dyDescent="0.25">
      <c r="A182" s="88">
        <v>108</v>
      </c>
      <c r="B182" s="89" t="s">
        <v>1694</v>
      </c>
      <c r="C182" s="88" t="s">
        <v>0</v>
      </c>
      <c r="D182" s="95"/>
      <c r="E182" s="90">
        <v>50000</v>
      </c>
      <c r="F182" s="88">
        <v>4</v>
      </c>
      <c r="G182" s="89" t="s">
        <v>1695</v>
      </c>
      <c r="H182" s="89" t="s">
        <v>1696</v>
      </c>
      <c r="I182" s="89" t="s">
        <v>32</v>
      </c>
      <c r="J182" s="89" t="s">
        <v>1697</v>
      </c>
      <c r="K182" s="89" t="s">
        <v>6717</v>
      </c>
    </row>
    <row r="183" spans="1:11" ht="57" x14ac:dyDescent="0.25">
      <c r="A183" s="88">
        <v>108</v>
      </c>
      <c r="B183" s="89" t="s">
        <v>149</v>
      </c>
      <c r="C183" s="88" t="s">
        <v>0</v>
      </c>
      <c r="D183" s="95"/>
      <c r="E183" s="90">
        <v>99865</v>
      </c>
      <c r="F183" s="88">
        <v>4</v>
      </c>
      <c r="G183" s="89" t="s">
        <v>1705</v>
      </c>
      <c r="H183" s="89" t="s">
        <v>1706</v>
      </c>
      <c r="I183" s="89" t="s">
        <v>1707</v>
      </c>
      <c r="J183" s="89" t="s">
        <v>1708</v>
      </c>
      <c r="K183" s="89" t="s">
        <v>6716</v>
      </c>
    </row>
    <row r="184" spans="1:11" ht="42.75" x14ac:dyDescent="0.25">
      <c r="A184" s="88">
        <v>108</v>
      </c>
      <c r="B184" s="89" t="s">
        <v>1677</v>
      </c>
      <c r="C184" s="88" t="s">
        <v>0</v>
      </c>
      <c r="D184" s="95"/>
      <c r="E184" s="90">
        <v>20000</v>
      </c>
      <c r="F184" s="88">
        <v>4</v>
      </c>
      <c r="G184" s="89" t="s">
        <v>1678</v>
      </c>
      <c r="H184" s="89" t="s">
        <v>1679</v>
      </c>
      <c r="I184" s="89" t="s">
        <v>161</v>
      </c>
      <c r="J184" s="89" t="s">
        <v>1680</v>
      </c>
      <c r="K184" s="89" t="s">
        <v>6715</v>
      </c>
    </row>
    <row r="185" spans="1:11" ht="85.5" x14ac:dyDescent="0.25">
      <c r="A185" s="88">
        <v>108</v>
      </c>
      <c r="B185" s="89" t="s">
        <v>5695</v>
      </c>
      <c r="C185" s="88" t="s">
        <v>0</v>
      </c>
      <c r="D185" s="95"/>
      <c r="E185" s="90">
        <v>20267</v>
      </c>
      <c r="F185" s="88">
        <v>4</v>
      </c>
      <c r="G185" s="89" t="s">
        <v>1689</v>
      </c>
      <c r="H185" s="89" t="s">
        <v>1690</v>
      </c>
      <c r="I185" s="89" t="s">
        <v>1691</v>
      </c>
      <c r="J185" s="89" t="s">
        <v>1692</v>
      </c>
      <c r="K185" s="89" t="s">
        <v>5882</v>
      </c>
    </row>
    <row r="186" spans="1:11" ht="42.75" x14ac:dyDescent="0.25">
      <c r="A186" s="88">
        <v>108</v>
      </c>
      <c r="B186" s="89" t="s">
        <v>1716</v>
      </c>
      <c r="C186" s="88" t="s">
        <v>0</v>
      </c>
      <c r="D186" s="95"/>
      <c r="E186" s="90">
        <v>12610</v>
      </c>
      <c r="F186" s="88">
        <v>4</v>
      </c>
      <c r="G186" s="89" t="s">
        <v>1717</v>
      </c>
      <c r="H186" s="89" t="s">
        <v>1718</v>
      </c>
      <c r="I186" s="89" t="s">
        <v>746</v>
      </c>
      <c r="J186" s="89" t="s">
        <v>747</v>
      </c>
      <c r="K186" s="89" t="s">
        <v>5881</v>
      </c>
    </row>
    <row r="187" spans="1:11" ht="85.5" x14ac:dyDescent="0.25">
      <c r="A187" s="88">
        <v>108</v>
      </c>
      <c r="B187" s="89" t="s">
        <v>1693</v>
      </c>
      <c r="C187" s="88" t="s">
        <v>0</v>
      </c>
      <c r="D187" s="95"/>
      <c r="E187" s="90">
        <v>16348</v>
      </c>
      <c r="F187" s="88">
        <v>4</v>
      </c>
      <c r="G187" s="89" t="s">
        <v>1689</v>
      </c>
      <c r="H187" s="89" t="s">
        <v>1690</v>
      </c>
      <c r="I187" s="89" t="s">
        <v>1691</v>
      </c>
      <c r="J187" s="89" t="s">
        <v>1692</v>
      </c>
      <c r="K187" s="89" t="s">
        <v>6714</v>
      </c>
    </row>
    <row r="188" spans="1:11" ht="71.25" x14ac:dyDescent="0.25">
      <c r="A188" s="88">
        <v>108</v>
      </c>
      <c r="B188" s="89" t="s">
        <v>1686</v>
      </c>
      <c r="C188" s="88" t="s">
        <v>0</v>
      </c>
      <c r="D188" s="95"/>
      <c r="E188" s="90">
        <v>62609</v>
      </c>
      <c r="F188" s="88">
        <v>4</v>
      </c>
      <c r="G188" s="89" t="s">
        <v>1687</v>
      </c>
      <c r="H188" s="89" t="s">
        <v>1688</v>
      </c>
      <c r="I188" s="89" t="s">
        <v>94</v>
      </c>
      <c r="J188" s="89" t="s">
        <v>1521</v>
      </c>
      <c r="K188" s="89" t="s">
        <v>6713</v>
      </c>
    </row>
    <row r="189" spans="1:11" ht="57" x14ac:dyDescent="0.25">
      <c r="A189" s="88">
        <v>108</v>
      </c>
      <c r="B189" s="89" t="s">
        <v>1684</v>
      </c>
      <c r="C189" s="88" t="s">
        <v>0</v>
      </c>
      <c r="D189" s="95"/>
      <c r="E189" s="90">
        <v>120000</v>
      </c>
      <c r="F189" s="88">
        <v>4</v>
      </c>
      <c r="G189" s="89" t="s">
        <v>1685</v>
      </c>
      <c r="H189" s="89" t="s">
        <v>1506</v>
      </c>
      <c r="I189" s="89" t="s">
        <v>32</v>
      </c>
      <c r="J189" s="89" t="s">
        <v>33</v>
      </c>
      <c r="K189" s="89" t="s">
        <v>5883</v>
      </c>
    </row>
    <row r="190" spans="1:11" ht="57" x14ac:dyDescent="0.25">
      <c r="A190" s="88">
        <v>108</v>
      </c>
      <c r="B190" s="89" t="s">
        <v>137</v>
      </c>
      <c r="C190" s="88" t="s">
        <v>0</v>
      </c>
      <c r="D190" s="95"/>
      <c r="E190" s="90">
        <v>34549</v>
      </c>
      <c r="F190" s="88">
        <v>4</v>
      </c>
      <c r="G190" s="89" t="s">
        <v>1719</v>
      </c>
      <c r="H190" s="89" t="s">
        <v>1720</v>
      </c>
      <c r="I190" s="89" t="s">
        <v>66</v>
      </c>
      <c r="J190" s="89" t="s">
        <v>99</v>
      </c>
      <c r="K190" s="89" t="s">
        <v>6712</v>
      </c>
    </row>
    <row r="191" spans="1:11" ht="71.25" x14ac:dyDescent="0.25">
      <c r="A191" s="88">
        <v>108</v>
      </c>
      <c r="B191" s="89" t="s">
        <v>1721</v>
      </c>
      <c r="C191" s="88" t="s">
        <v>0</v>
      </c>
      <c r="D191" s="95"/>
      <c r="E191" s="90">
        <v>86600</v>
      </c>
      <c r="F191" s="88">
        <v>4</v>
      </c>
      <c r="G191" s="89" t="s">
        <v>1722</v>
      </c>
      <c r="H191" s="89" t="s">
        <v>1723</v>
      </c>
      <c r="I191" s="89" t="s">
        <v>173</v>
      </c>
      <c r="J191" s="89" t="s">
        <v>1724</v>
      </c>
      <c r="K191" s="89" t="s">
        <v>6711</v>
      </c>
    </row>
    <row r="192" spans="1:11" ht="85.5" x14ac:dyDescent="0.25">
      <c r="A192" s="88">
        <v>108</v>
      </c>
      <c r="B192" s="89" t="s">
        <v>4774</v>
      </c>
      <c r="C192" s="88" t="s">
        <v>0</v>
      </c>
      <c r="D192" s="95"/>
      <c r="E192" s="90">
        <v>70000</v>
      </c>
      <c r="F192" s="88">
        <v>4</v>
      </c>
      <c r="G192" s="89" t="s">
        <v>4775</v>
      </c>
      <c r="H192" s="89" t="s">
        <v>4776</v>
      </c>
      <c r="I192" s="89" t="s">
        <v>849</v>
      </c>
      <c r="J192" s="89" t="s">
        <v>4777</v>
      </c>
      <c r="K192" s="89" t="s">
        <v>6710</v>
      </c>
    </row>
    <row r="193" spans="1:11" ht="28.5" x14ac:dyDescent="0.25">
      <c r="A193" s="88">
        <v>108</v>
      </c>
      <c r="B193" s="89" t="s">
        <v>12</v>
      </c>
      <c r="C193" s="88" t="s">
        <v>0</v>
      </c>
      <c r="D193" s="95">
        <v>40000</v>
      </c>
      <c r="E193" s="90"/>
      <c r="F193" s="88">
        <v>4</v>
      </c>
      <c r="G193" s="89" t="s">
        <v>825</v>
      </c>
      <c r="H193" s="89"/>
      <c r="I193" s="89" t="s">
        <v>14</v>
      </c>
      <c r="J193" s="89"/>
      <c r="K193" s="89" t="str">
        <f>"　"</f>
        <v>　</v>
      </c>
    </row>
    <row r="194" spans="1:11" ht="85.5" x14ac:dyDescent="0.25">
      <c r="A194" s="88">
        <v>108</v>
      </c>
      <c r="B194" s="89" t="s">
        <v>12</v>
      </c>
      <c r="C194" s="88" t="s">
        <v>0</v>
      </c>
      <c r="D194" s="95"/>
      <c r="E194" s="90">
        <v>30771</v>
      </c>
      <c r="F194" s="88">
        <v>4</v>
      </c>
      <c r="G194" s="89" t="s">
        <v>3227</v>
      </c>
      <c r="H194" s="89" t="s">
        <v>3228</v>
      </c>
      <c r="I194" s="89" t="s">
        <v>66</v>
      </c>
      <c r="J194" s="89" t="s">
        <v>302</v>
      </c>
      <c r="K194" s="89" t="str">
        <f>"00050304"</f>
        <v>00050304</v>
      </c>
    </row>
    <row r="195" spans="1:11" ht="42.75" x14ac:dyDescent="0.25">
      <c r="A195" s="88">
        <v>108</v>
      </c>
      <c r="B195" s="89" t="s">
        <v>4574</v>
      </c>
      <c r="C195" s="88" t="s">
        <v>0</v>
      </c>
      <c r="D195" s="95"/>
      <c r="E195" s="90">
        <v>6533</v>
      </c>
      <c r="F195" s="88">
        <v>4</v>
      </c>
      <c r="G195" s="89" t="s">
        <v>4574</v>
      </c>
      <c r="H195" s="89" t="s">
        <v>4575</v>
      </c>
      <c r="I195" s="89" t="s">
        <v>66</v>
      </c>
      <c r="J195" s="89" t="s">
        <v>1237</v>
      </c>
      <c r="K195" s="89" t="s">
        <v>6709</v>
      </c>
    </row>
    <row r="196" spans="1:11" ht="28.5" x14ac:dyDescent="0.25">
      <c r="A196" s="21">
        <v>108</v>
      </c>
      <c r="B196" s="22" t="s">
        <v>12</v>
      </c>
      <c r="C196" s="21" t="s">
        <v>0</v>
      </c>
      <c r="D196" s="23">
        <v>75400000</v>
      </c>
      <c r="E196" s="23"/>
      <c r="F196" s="21">
        <v>4</v>
      </c>
      <c r="G196" s="22" t="s">
        <v>52</v>
      </c>
      <c r="H196" s="22"/>
      <c r="I196" s="22" t="s">
        <v>53</v>
      </c>
      <c r="J196" s="22"/>
      <c r="K196" s="22" t="str">
        <f>"　"</f>
        <v>　</v>
      </c>
    </row>
    <row r="197" spans="1:11" ht="42.75" x14ac:dyDescent="0.25">
      <c r="A197" s="21">
        <v>108</v>
      </c>
      <c r="B197" s="22" t="s">
        <v>330</v>
      </c>
      <c r="C197" s="21" t="s">
        <v>0</v>
      </c>
      <c r="D197" s="24"/>
      <c r="E197" s="23">
        <v>12688</v>
      </c>
      <c r="F197" s="21">
        <v>4</v>
      </c>
      <c r="G197" s="22" t="s">
        <v>4789</v>
      </c>
      <c r="H197" s="22" t="s">
        <v>331</v>
      </c>
      <c r="I197" s="22" t="s">
        <v>66</v>
      </c>
      <c r="J197" s="22" t="s">
        <v>332</v>
      </c>
      <c r="K197" s="22" t="str">
        <f>"00048717"</f>
        <v>00048717</v>
      </c>
    </row>
    <row r="198" spans="1:11" ht="42.75" x14ac:dyDescent="0.25">
      <c r="A198" s="21">
        <v>108</v>
      </c>
      <c r="B198" s="22" t="s">
        <v>336</v>
      </c>
      <c r="C198" s="21" t="s">
        <v>0</v>
      </c>
      <c r="D198" s="24"/>
      <c r="E198" s="23">
        <v>94343</v>
      </c>
      <c r="F198" s="21">
        <v>4</v>
      </c>
      <c r="G198" s="22" t="s">
        <v>4790</v>
      </c>
      <c r="H198" s="22" t="s">
        <v>337</v>
      </c>
      <c r="I198" s="22" t="s">
        <v>237</v>
      </c>
      <c r="J198" s="22" t="s">
        <v>338</v>
      </c>
      <c r="K198" s="22" t="str">
        <f>"00048454"</f>
        <v>00048454</v>
      </c>
    </row>
    <row r="199" spans="1:11" ht="71.25" x14ac:dyDescent="0.25">
      <c r="A199" s="21">
        <v>108</v>
      </c>
      <c r="B199" s="22" t="s">
        <v>333</v>
      </c>
      <c r="C199" s="21" t="s">
        <v>0</v>
      </c>
      <c r="D199" s="24"/>
      <c r="E199" s="23">
        <v>114910</v>
      </c>
      <c r="F199" s="21">
        <v>4</v>
      </c>
      <c r="G199" s="22" t="s">
        <v>4791</v>
      </c>
      <c r="H199" s="22" t="s">
        <v>334</v>
      </c>
      <c r="I199" s="22" t="s">
        <v>32</v>
      </c>
      <c r="J199" s="22" t="s">
        <v>335</v>
      </c>
      <c r="K199" s="22" t="str">
        <f>"00047367"</f>
        <v>00047367</v>
      </c>
    </row>
    <row r="200" spans="1:11" ht="85.5" x14ac:dyDescent="0.25">
      <c r="A200" s="21">
        <v>108</v>
      </c>
      <c r="B200" s="22" t="s">
        <v>339</v>
      </c>
      <c r="C200" s="21" t="s">
        <v>0</v>
      </c>
      <c r="D200" s="24"/>
      <c r="E200" s="23">
        <v>68716</v>
      </c>
      <c r="F200" s="21">
        <v>4</v>
      </c>
      <c r="G200" s="22" t="s">
        <v>4792</v>
      </c>
      <c r="H200" s="22" t="s">
        <v>340</v>
      </c>
      <c r="I200" s="22" t="s">
        <v>32</v>
      </c>
      <c r="J200" s="22" t="s">
        <v>341</v>
      </c>
      <c r="K200" s="22" t="str">
        <f>"00047757"</f>
        <v>00047757</v>
      </c>
    </row>
    <row r="201" spans="1:11" ht="42.75" x14ac:dyDescent="0.25">
      <c r="A201" s="21">
        <v>108</v>
      </c>
      <c r="B201" s="22" t="s">
        <v>342</v>
      </c>
      <c r="C201" s="21" t="s">
        <v>0</v>
      </c>
      <c r="D201" s="24"/>
      <c r="E201" s="23">
        <v>80000</v>
      </c>
      <c r="F201" s="21">
        <v>4</v>
      </c>
      <c r="G201" s="22" t="s">
        <v>4793</v>
      </c>
      <c r="H201" s="22" t="s">
        <v>285</v>
      </c>
      <c r="I201" s="22" t="s">
        <v>32</v>
      </c>
      <c r="J201" s="22" t="s">
        <v>169</v>
      </c>
      <c r="K201" s="22" t="str">
        <f>"00047176"</f>
        <v>00047176</v>
      </c>
    </row>
    <row r="202" spans="1:11" ht="42.75" x14ac:dyDescent="0.25">
      <c r="A202" s="21">
        <v>108</v>
      </c>
      <c r="B202" s="22" t="s">
        <v>343</v>
      </c>
      <c r="C202" s="21" t="s">
        <v>0</v>
      </c>
      <c r="D202" s="24"/>
      <c r="E202" s="23">
        <v>44768</v>
      </c>
      <c r="F202" s="21">
        <v>4</v>
      </c>
      <c r="G202" s="22" t="s">
        <v>4794</v>
      </c>
      <c r="H202" s="22" t="s">
        <v>344</v>
      </c>
      <c r="I202" s="22" t="s">
        <v>61</v>
      </c>
      <c r="J202" s="22" t="s">
        <v>345</v>
      </c>
      <c r="K202" s="22" t="str">
        <f>"00046824"</f>
        <v>00046824</v>
      </c>
    </row>
    <row r="203" spans="1:11" ht="57" x14ac:dyDescent="0.25">
      <c r="A203" s="21">
        <v>108</v>
      </c>
      <c r="B203" s="22" t="s">
        <v>346</v>
      </c>
      <c r="C203" s="21" t="s">
        <v>0</v>
      </c>
      <c r="D203" s="24"/>
      <c r="E203" s="23">
        <v>80000</v>
      </c>
      <c r="F203" s="21">
        <v>4</v>
      </c>
      <c r="G203" s="22" t="s">
        <v>347</v>
      </c>
      <c r="H203" s="22" t="s">
        <v>348</v>
      </c>
      <c r="I203" s="22" t="s">
        <v>32</v>
      </c>
      <c r="J203" s="22" t="s">
        <v>349</v>
      </c>
      <c r="K203" s="22" t="str">
        <f>"00047430"</f>
        <v>00047430</v>
      </c>
    </row>
    <row r="204" spans="1:11" ht="42.75" x14ac:dyDescent="0.25">
      <c r="A204" s="21">
        <v>108</v>
      </c>
      <c r="B204" s="22" t="s">
        <v>336</v>
      </c>
      <c r="C204" s="21" t="s">
        <v>0</v>
      </c>
      <c r="D204" s="24"/>
      <c r="E204" s="23">
        <v>122092</v>
      </c>
      <c r="F204" s="21">
        <v>4</v>
      </c>
      <c r="G204" s="22" t="s">
        <v>4795</v>
      </c>
      <c r="H204" s="22" t="s">
        <v>2075</v>
      </c>
      <c r="I204" s="22" t="s">
        <v>32</v>
      </c>
      <c r="J204" s="22" t="s">
        <v>2076</v>
      </c>
      <c r="K204" s="22" t="str">
        <f>"00049711"</f>
        <v>00049711</v>
      </c>
    </row>
    <row r="205" spans="1:11" ht="42.75" x14ac:dyDescent="0.25">
      <c r="A205" s="21">
        <v>108</v>
      </c>
      <c r="B205" s="22" t="s">
        <v>350</v>
      </c>
      <c r="C205" s="21" t="s">
        <v>0</v>
      </c>
      <c r="D205" s="24"/>
      <c r="E205" s="23">
        <v>84292</v>
      </c>
      <c r="F205" s="21">
        <v>4</v>
      </c>
      <c r="G205" s="22" t="s">
        <v>4796</v>
      </c>
      <c r="H205" s="22" t="s">
        <v>351</v>
      </c>
      <c r="I205" s="22" t="s">
        <v>32</v>
      </c>
      <c r="J205" s="22" t="s">
        <v>352</v>
      </c>
      <c r="K205" s="22" t="str">
        <f>"00046621"</f>
        <v>00046621</v>
      </c>
    </row>
    <row r="206" spans="1:11" ht="42.75" x14ac:dyDescent="0.25">
      <c r="A206" s="21">
        <v>108</v>
      </c>
      <c r="B206" s="22" t="s">
        <v>353</v>
      </c>
      <c r="C206" s="21" t="s">
        <v>0</v>
      </c>
      <c r="D206" s="24"/>
      <c r="E206" s="23">
        <v>7384</v>
      </c>
      <c r="F206" s="21">
        <v>4</v>
      </c>
      <c r="G206" s="22" t="s">
        <v>4797</v>
      </c>
      <c r="H206" s="22" t="s">
        <v>354</v>
      </c>
      <c r="I206" s="22" t="s">
        <v>94</v>
      </c>
      <c r="J206" s="22" t="s">
        <v>355</v>
      </c>
      <c r="K206" s="22" t="str">
        <f>"00049222"</f>
        <v>00049222</v>
      </c>
    </row>
    <row r="207" spans="1:11" ht="71.25" x14ac:dyDescent="0.25">
      <c r="A207" s="21">
        <v>108</v>
      </c>
      <c r="B207" s="22" t="s">
        <v>2069</v>
      </c>
      <c r="C207" s="21" t="s">
        <v>0</v>
      </c>
      <c r="D207" s="24"/>
      <c r="E207" s="23">
        <v>83861</v>
      </c>
      <c r="F207" s="21">
        <v>4</v>
      </c>
      <c r="G207" s="22" t="s">
        <v>4798</v>
      </c>
      <c r="H207" s="22" t="s">
        <v>2070</v>
      </c>
      <c r="I207" s="22" t="s">
        <v>32</v>
      </c>
      <c r="J207" s="22" t="s">
        <v>423</v>
      </c>
      <c r="K207" s="22" t="str">
        <f>"00048746"</f>
        <v>00048746</v>
      </c>
    </row>
    <row r="208" spans="1:11" ht="42.75" x14ac:dyDescent="0.25">
      <c r="A208" s="21">
        <v>108</v>
      </c>
      <c r="B208" s="22" t="s">
        <v>330</v>
      </c>
      <c r="C208" s="21" t="s">
        <v>0</v>
      </c>
      <c r="D208" s="24"/>
      <c r="E208" s="23">
        <v>47796</v>
      </c>
      <c r="F208" s="21">
        <v>4</v>
      </c>
      <c r="G208" s="22" t="s">
        <v>4799</v>
      </c>
      <c r="H208" s="22" t="s">
        <v>2071</v>
      </c>
      <c r="I208" s="22" t="s">
        <v>32</v>
      </c>
      <c r="J208" s="22" t="s">
        <v>2072</v>
      </c>
      <c r="K208" s="22" t="str">
        <f>"00049630"</f>
        <v>00049630</v>
      </c>
    </row>
    <row r="209" spans="1:11" ht="42.75" x14ac:dyDescent="0.25">
      <c r="A209" s="21">
        <v>108</v>
      </c>
      <c r="B209" s="22" t="s">
        <v>2073</v>
      </c>
      <c r="C209" s="21" t="s">
        <v>0</v>
      </c>
      <c r="D209" s="24"/>
      <c r="E209" s="23">
        <v>91544</v>
      </c>
      <c r="F209" s="21">
        <v>4</v>
      </c>
      <c r="G209" s="22" t="s">
        <v>4800</v>
      </c>
      <c r="H209" s="22" t="s">
        <v>2074</v>
      </c>
      <c r="I209" s="22" t="s">
        <v>32</v>
      </c>
      <c r="J209" s="22" t="s">
        <v>550</v>
      </c>
      <c r="K209" s="22" t="str">
        <f>"00051548"</f>
        <v>00051548</v>
      </c>
    </row>
    <row r="210" spans="1:11" ht="42.75" x14ac:dyDescent="0.25">
      <c r="A210" s="21">
        <v>108</v>
      </c>
      <c r="B210" s="22" t="s">
        <v>4393</v>
      </c>
      <c r="C210" s="21" t="s">
        <v>0</v>
      </c>
      <c r="D210" s="24"/>
      <c r="E210" s="23">
        <v>3126</v>
      </c>
      <c r="F210" s="21">
        <v>4</v>
      </c>
      <c r="G210" s="22" t="s">
        <v>4801</v>
      </c>
      <c r="H210" s="22" t="s">
        <v>4394</v>
      </c>
      <c r="I210" s="22" t="s">
        <v>66</v>
      </c>
      <c r="J210" s="22" t="s">
        <v>4395</v>
      </c>
      <c r="K210" s="22" t="str">
        <f>"00050753"</f>
        <v>00050753</v>
      </c>
    </row>
    <row r="211" spans="1:11" ht="28.5" x14ac:dyDescent="0.25">
      <c r="A211" s="88">
        <v>108</v>
      </c>
      <c r="B211" s="89" t="s">
        <v>12</v>
      </c>
      <c r="C211" s="88" t="s">
        <v>0</v>
      </c>
      <c r="D211" s="91">
        <v>75400000</v>
      </c>
      <c r="E211" s="59"/>
      <c r="F211" s="88">
        <v>4</v>
      </c>
      <c r="G211" s="89" t="s">
        <v>52</v>
      </c>
      <c r="H211" s="89"/>
      <c r="I211" s="89" t="s">
        <v>53</v>
      </c>
      <c r="J211" s="89"/>
      <c r="K211" s="89" t="str">
        <f>"　"</f>
        <v>　</v>
      </c>
    </row>
    <row r="212" spans="1:11" ht="42.75" x14ac:dyDescent="0.25">
      <c r="A212" s="88">
        <v>108</v>
      </c>
      <c r="B212" s="89" t="s">
        <v>299</v>
      </c>
      <c r="C212" s="88" t="s">
        <v>0</v>
      </c>
      <c r="D212" s="89"/>
      <c r="E212" s="91">
        <v>36371</v>
      </c>
      <c r="F212" s="88">
        <v>4</v>
      </c>
      <c r="G212" s="89" t="s">
        <v>300</v>
      </c>
      <c r="H212" s="89" t="s">
        <v>301</v>
      </c>
      <c r="I212" s="89" t="s">
        <v>66</v>
      </c>
      <c r="J212" s="89" t="s">
        <v>302</v>
      </c>
      <c r="K212" s="89" t="s">
        <v>6708</v>
      </c>
    </row>
    <row r="213" spans="1:11" ht="57" x14ac:dyDescent="0.25">
      <c r="A213" s="88">
        <v>108</v>
      </c>
      <c r="B213" s="89" t="s">
        <v>321</v>
      </c>
      <c r="C213" s="88" t="s">
        <v>0</v>
      </c>
      <c r="D213" s="89"/>
      <c r="E213" s="91">
        <v>6700</v>
      </c>
      <c r="F213" s="88">
        <v>4</v>
      </c>
      <c r="G213" s="89" t="s">
        <v>322</v>
      </c>
      <c r="H213" s="89" t="s">
        <v>324</v>
      </c>
      <c r="I213" s="89" t="s">
        <v>66</v>
      </c>
      <c r="J213" s="89" t="s">
        <v>302</v>
      </c>
      <c r="K213" s="25" t="s">
        <v>6707</v>
      </c>
    </row>
    <row r="214" spans="1:11" ht="57" x14ac:dyDescent="0.25">
      <c r="A214" s="88">
        <v>108</v>
      </c>
      <c r="B214" s="89" t="s">
        <v>321</v>
      </c>
      <c r="C214" s="88" t="s">
        <v>0</v>
      </c>
      <c r="D214" s="89"/>
      <c r="E214" s="91">
        <v>5000</v>
      </c>
      <c r="F214" s="88">
        <v>4</v>
      </c>
      <c r="G214" s="89" t="s">
        <v>322</v>
      </c>
      <c r="H214" s="89" t="s">
        <v>323</v>
      </c>
      <c r="I214" s="89" t="s">
        <v>66</v>
      </c>
      <c r="J214" s="89" t="s">
        <v>302</v>
      </c>
      <c r="K214" s="89" t="s">
        <v>6706</v>
      </c>
    </row>
    <row r="215" spans="1:11" ht="57" x14ac:dyDescent="0.25">
      <c r="A215" s="88">
        <v>108</v>
      </c>
      <c r="B215" s="89" t="s">
        <v>321</v>
      </c>
      <c r="C215" s="88" t="s">
        <v>0</v>
      </c>
      <c r="D215" s="89"/>
      <c r="E215" s="91">
        <v>6700</v>
      </c>
      <c r="F215" s="88">
        <v>4</v>
      </c>
      <c r="G215" s="89" t="s">
        <v>322</v>
      </c>
      <c r="H215" s="89" t="s">
        <v>323</v>
      </c>
      <c r="I215" s="89" t="s">
        <v>66</v>
      </c>
      <c r="J215" s="89" t="s">
        <v>302</v>
      </c>
      <c r="K215" s="89" t="s">
        <v>6705</v>
      </c>
    </row>
    <row r="216" spans="1:11" ht="85.5" x14ac:dyDescent="0.25">
      <c r="A216" s="88">
        <v>108</v>
      </c>
      <c r="B216" s="89" t="s">
        <v>310</v>
      </c>
      <c r="C216" s="88" t="s">
        <v>0</v>
      </c>
      <c r="D216" s="89"/>
      <c r="E216" s="91">
        <v>12500</v>
      </c>
      <c r="F216" s="88">
        <v>4</v>
      </c>
      <c r="G216" s="89" t="s">
        <v>319</v>
      </c>
      <c r="H216" s="89" t="s">
        <v>320</v>
      </c>
      <c r="I216" s="89" t="s">
        <v>66</v>
      </c>
      <c r="J216" s="89" t="s">
        <v>315</v>
      </c>
      <c r="K216" s="89" t="s">
        <v>5985</v>
      </c>
    </row>
    <row r="217" spans="1:11" ht="57" x14ac:dyDescent="0.25">
      <c r="A217" s="88">
        <v>108</v>
      </c>
      <c r="B217" s="89" t="s">
        <v>310</v>
      </c>
      <c r="C217" s="88" t="s">
        <v>0</v>
      </c>
      <c r="D217" s="89"/>
      <c r="E217" s="91">
        <v>6992</v>
      </c>
      <c r="F217" s="88">
        <v>4</v>
      </c>
      <c r="G217" s="89" t="s">
        <v>314</v>
      </c>
      <c r="H217" s="89" t="s">
        <v>312</v>
      </c>
      <c r="I217" s="89" t="s">
        <v>66</v>
      </c>
      <c r="J217" s="89" t="s">
        <v>315</v>
      </c>
      <c r="K217" s="89" t="s">
        <v>5884</v>
      </c>
    </row>
    <row r="218" spans="1:11" ht="57" x14ac:dyDescent="0.25">
      <c r="A218" s="88">
        <v>108</v>
      </c>
      <c r="B218" s="89" t="s">
        <v>325</v>
      </c>
      <c r="C218" s="88" t="s">
        <v>0</v>
      </c>
      <c r="D218" s="89"/>
      <c r="E218" s="91">
        <v>38327</v>
      </c>
      <c r="F218" s="88">
        <v>4</v>
      </c>
      <c r="G218" s="89" t="s">
        <v>326</v>
      </c>
      <c r="H218" s="89" t="s">
        <v>301</v>
      </c>
      <c r="I218" s="89" t="s">
        <v>66</v>
      </c>
      <c r="J218" s="89" t="s">
        <v>302</v>
      </c>
      <c r="K218" s="89" t="s">
        <v>6704</v>
      </c>
    </row>
    <row r="219" spans="1:11" ht="42.75" x14ac:dyDescent="0.25">
      <c r="A219" s="88">
        <v>108</v>
      </c>
      <c r="B219" s="89" t="s">
        <v>310</v>
      </c>
      <c r="C219" s="88" t="s">
        <v>0</v>
      </c>
      <c r="D219" s="89"/>
      <c r="E219" s="91">
        <v>7500</v>
      </c>
      <c r="F219" s="88">
        <v>4</v>
      </c>
      <c r="G219" s="89" t="s">
        <v>311</v>
      </c>
      <c r="H219" s="89" t="s">
        <v>312</v>
      </c>
      <c r="I219" s="89" t="s">
        <v>66</v>
      </c>
      <c r="J219" s="89" t="s">
        <v>302</v>
      </c>
      <c r="K219" s="89" t="s">
        <v>6703</v>
      </c>
    </row>
    <row r="220" spans="1:11" ht="71.25" x14ac:dyDescent="0.25">
      <c r="A220" s="88">
        <v>108</v>
      </c>
      <c r="B220" s="89" t="s">
        <v>303</v>
      </c>
      <c r="C220" s="88" t="s">
        <v>0</v>
      </c>
      <c r="D220" s="89"/>
      <c r="E220" s="91">
        <v>4940</v>
      </c>
      <c r="F220" s="88">
        <v>4</v>
      </c>
      <c r="G220" s="89" t="s">
        <v>304</v>
      </c>
      <c r="H220" s="89" t="s">
        <v>305</v>
      </c>
      <c r="I220" s="89" t="s">
        <v>66</v>
      </c>
      <c r="J220" s="89" t="s">
        <v>302</v>
      </c>
      <c r="K220" s="89" t="s">
        <v>6702</v>
      </c>
    </row>
    <row r="221" spans="1:11" ht="42.75" x14ac:dyDescent="0.25">
      <c r="A221" s="88">
        <v>108</v>
      </c>
      <c r="B221" s="89" t="s">
        <v>306</v>
      </c>
      <c r="C221" s="88" t="s">
        <v>0</v>
      </c>
      <c r="D221" s="89"/>
      <c r="E221" s="91">
        <v>32454</v>
      </c>
      <c r="F221" s="88">
        <v>4</v>
      </c>
      <c r="G221" s="89" t="s">
        <v>307</v>
      </c>
      <c r="H221" s="89" t="s">
        <v>308</v>
      </c>
      <c r="I221" s="89" t="s">
        <v>66</v>
      </c>
      <c r="J221" s="89" t="s">
        <v>302</v>
      </c>
      <c r="K221" s="89" t="s">
        <v>6701</v>
      </c>
    </row>
    <row r="222" spans="1:11" ht="42.75" x14ac:dyDescent="0.25">
      <c r="A222" s="88">
        <v>108</v>
      </c>
      <c r="B222" s="89" t="s">
        <v>306</v>
      </c>
      <c r="C222" s="88" t="s">
        <v>0</v>
      </c>
      <c r="D222" s="89"/>
      <c r="E222" s="91">
        <v>32454</v>
      </c>
      <c r="F222" s="88">
        <v>4</v>
      </c>
      <c r="G222" s="89" t="s">
        <v>307</v>
      </c>
      <c r="H222" s="89" t="s">
        <v>309</v>
      </c>
      <c r="I222" s="89" t="s">
        <v>66</v>
      </c>
      <c r="J222" s="89" t="s">
        <v>302</v>
      </c>
      <c r="K222" s="89" t="s">
        <v>6700</v>
      </c>
    </row>
    <row r="223" spans="1:11" ht="42.75" x14ac:dyDescent="0.25">
      <c r="A223" s="88">
        <v>108</v>
      </c>
      <c r="B223" s="89" t="s">
        <v>306</v>
      </c>
      <c r="C223" s="88" t="s">
        <v>0</v>
      </c>
      <c r="D223" s="89"/>
      <c r="E223" s="91">
        <v>39586</v>
      </c>
      <c r="F223" s="88">
        <v>4</v>
      </c>
      <c r="G223" s="89" t="s">
        <v>307</v>
      </c>
      <c r="H223" s="89" t="s">
        <v>313</v>
      </c>
      <c r="I223" s="89" t="s">
        <v>66</v>
      </c>
      <c r="J223" s="89" t="s">
        <v>302</v>
      </c>
      <c r="K223" s="89" t="s">
        <v>6699</v>
      </c>
    </row>
    <row r="224" spans="1:11" ht="42.75" x14ac:dyDescent="0.25">
      <c r="A224" s="88">
        <v>108</v>
      </c>
      <c r="B224" s="89" t="s">
        <v>318</v>
      </c>
      <c r="C224" s="88" t="s">
        <v>0</v>
      </c>
      <c r="D224" s="89"/>
      <c r="E224" s="91">
        <v>70496</v>
      </c>
      <c r="F224" s="88">
        <v>4</v>
      </c>
      <c r="G224" s="89" t="s">
        <v>317</v>
      </c>
      <c r="H224" s="89" t="s">
        <v>308</v>
      </c>
      <c r="I224" s="89" t="s">
        <v>66</v>
      </c>
      <c r="J224" s="89" t="s">
        <v>302</v>
      </c>
      <c r="K224" s="89" t="s">
        <v>6698</v>
      </c>
    </row>
    <row r="225" spans="1:11" ht="42.75" x14ac:dyDescent="0.25">
      <c r="A225" s="88">
        <v>108</v>
      </c>
      <c r="B225" s="89" t="s">
        <v>316</v>
      </c>
      <c r="C225" s="88" t="s">
        <v>0</v>
      </c>
      <c r="D225" s="89"/>
      <c r="E225" s="91">
        <v>70496</v>
      </c>
      <c r="F225" s="88">
        <v>4</v>
      </c>
      <c r="G225" s="89" t="s">
        <v>317</v>
      </c>
      <c r="H225" s="89" t="s">
        <v>308</v>
      </c>
      <c r="I225" s="89" t="s">
        <v>66</v>
      </c>
      <c r="J225" s="89" t="s">
        <v>302</v>
      </c>
      <c r="K225" s="89" t="s">
        <v>5986</v>
      </c>
    </row>
    <row r="226" spans="1:11" ht="71.25" x14ac:dyDescent="0.25">
      <c r="A226" s="88">
        <v>108</v>
      </c>
      <c r="B226" s="89" t="s">
        <v>1972</v>
      </c>
      <c r="C226" s="88" t="s">
        <v>0</v>
      </c>
      <c r="D226" s="89"/>
      <c r="E226" s="91">
        <v>86085</v>
      </c>
      <c r="F226" s="88">
        <v>4</v>
      </c>
      <c r="G226" s="89" t="s">
        <v>1973</v>
      </c>
      <c r="H226" s="89" t="s">
        <v>1974</v>
      </c>
      <c r="I226" s="89" t="s">
        <v>66</v>
      </c>
      <c r="J226" s="89" t="s">
        <v>315</v>
      </c>
      <c r="K226" s="89" t="s">
        <v>5885</v>
      </c>
    </row>
    <row r="227" spans="1:11" ht="71.25" x14ac:dyDescent="0.25">
      <c r="A227" s="88">
        <v>108</v>
      </c>
      <c r="B227" s="89" t="s">
        <v>1999</v>
      </c>
      <c r="C227" s="88" t="s">
        <v>0</v>
      </c>
      <c r="D227" s="89"/>
      <c r="E227" s="91">
        <v>116364</v>
      </c>
      <c r="F227" s="88">
        <v>4</v>
      </c>
      <c r="G227" s="89" t="s">
        <v>2000</v>
      </c>
      <c r="H227" s="89" t="s">
        <v>1784</v>
      </c>
      <c r="I227" s="89" t="s">
        <v>17</v>
      </c>
      <c r="J227" s="89" t="s">
        <v>2001</v>
      </c>
      <c r="K227" s="89" t="s">
        <v>6697</v>
      </c>
    </row>
    <row r="228" spans="1:11" ht="57" x14ac:dyDescent="0.25">
      <c r="A228" s="88">
        <v>108</v>
      </c>
      <c r="B228" s="89" t="s">
        <v>1992</v>
      </c>
      <c r="C228" s="88" t="s">
        <v>0</v>
      </c>
      <c r="D228" s="89"/>
      <c r="E228" s="91">
        <v>99261</v>
      </c>
      <c r="F228" s="88">
        <v>4</v>
      </c>
      <c r="G228" s="89" t="s">
        <v>5990</v>
      </c>
      <c r="H228" s="89" t="s">
        <v>2015</v>
      </c>
      <c r="I228" s="89" t="s">
        <v>32</v>
      </c>
      <c r="J228" s="89" t="s">
        <v>33</v>
      </c>
      <c r="K228" s="89" t="s">
        <v>6696</v>
      </c>
    </row>
    <row r="229" spans="1:11" ht="42.75" x14ac:dyDescent="0.25">
      <c r="A229" s="88">
        <v>108</v>
      </c>
      <c r="B229" s="89" t="s">
        <v>1972</v>
      </c>
      <c r="C229" s="88" t="s">
        <v>0</v>
      </c>
      <c r="D229" s="89"/>
      <c r="E229" s="91">
        <v>7500</v>
      </c>
      <c r="F229" s="88">
        <v>4</v>
      </c>
      <c r="G229" s="89" t="s">
        <v>5991</v>
      </c>
      <c r="H229" s="89" t="s">
        <v>320</v>
      </c>
      <c r="I229" s="89" t="s">
        <v>66</v>
      </c>
      <c r="J229" s="89" t="s">
        <v>302</v>
      </c>
      <c r="K229" s="89" t="s">
        <v>6695</v>
      </c>
    </row>
    <row r="230" spans="1:11" ht="42.75" x14ac:dyDescent="0.25">
      <c r="A230" s="88">
        <v>108</v>
      </c>
      <c r="B230" s="89" t="s">
        <v>2014</v>
      </c>
      <c r="C230" s="88" t="s">
        <v>0</v>
      </c>
      <c r="D230" s="89"/>
      <c r="E230" s="91">
        <v>19575</v>
      </c>
      <c r="F230" s="88">
        <v>4</v>
      </c>
      <c r="G230" s="89" t="s">
        <v>5992</v>
      </c>
      <c r="H230" s="89" t="s">
        <v>674</v>
      </c>
      <c r="I230" s="89" t="s">
        <v>66</v>
      </c>
      <c r="J230" s="89" t="s">
        <v>302</v>
      </c>
      <c r="K230" s="89" t="s">
        <v>6694</v>
      </c>
    </row>
    <row r="231" spans="1:11" ht="42.75" x14ac:dyDescent="0.25">
      <c r="A231" s="88">
        <v>108</v>
      </c>
      <c r="B231" s="89" t="s">
        <v>2012</v>
      </c>
      <c r="C231" s="88" t="s">
        <v>0</v>
      </c>
      <c r="D231" s="89"/>
      <c r="E231" s="91">
        <v>42557</v>
      </c>
      <c r="F231" s="88">
        <v>4</v>
      </c>
      <c r="G231" s="89" t="s">
        <v>2013</v>
      </c>
      <c r="H231" s="89" t="s">
        <v>516</v>
      </c>
      <c r="I231" s="89" t="s">
        <v>66</v>
      </c>
      <c r="J231" s="89" t="s">
        <v>302</v>
      </c>
      <c r="K231" s="89" t="str">
        <f>"00047890"</f>
        <v>00047890</v>
      </c>
    </row>
    <row r="232" spans="1:11" ht="42.75" x14ac:dyDescent="0.25">
      <c r="A232" s="88">
        <v>108</v>
      </c>
      <c r="B232" s="89" t="s">
        <v>303</v>
      </c>
      <c r="C232" s="88" t="s">
        <v>0</v>
      </c>
      <c r="D232" s="89"/>
      <c r="E232" s="91">
        <v>70134</v>
      </c>
      <c r="F232" s="88">
        <v>4</v>
      </c>
      <c r="G232" s="89" t="s">
        <v>1969</v>
      </c>
      <c r="H232" s="89" t="s">
        <v>1970</v>
      </c>
      <c r="I232" s="89" t="s">
        <v>32</v>
      </c>
      <c r="J232" s="89" t="s">
        <v>1971</v>
      </c>
      <c r="K232" s="25" t="s">
        <v>6692</v>
      </c>
    </row>
    <row r="233" spans="1:11" ht="57" x14ac:dyDescent="0.25">
      <c r="A233" s="88">
        <v>108</v>
      </c>
      <c r="B233" s="89" t="s">
        <v>2004</v>
      </c>
      <c r="C233" s="88" t="s">
        <v>0</v>
      </c>
      <c r="D233" s="89"/>
      <c r="E233" s="91">
        <v>20000</v>
      </c>
      <c r="F233" s="88">
        <v>4</v>
      </c>
      <c r="G233" s="89" t="s">
        <v>2016</v>
      </c>
      <c r="H233" s="89" t="s">
        <v>2017</v>
      </c>
      <c r="I233" s="89" t="s">
        <v>32</v>
      </c>
      <c r="J233" s="89" t="s">
        <v>33</v>
      </c>
      <c r="K233" s="25" t="s">
        <v>6693</v>
      </c>
    </row>
    <row r="234" spans="1:11" ht="57" x14ac:dyDescent="0.25">
      <c r="A234" s="88">
        <v>108</v>
      </c>
      <c r="B234" s="89" t="s">
        <v>2004</v>
      </c>
      <c r="C234" s="88" t="s">
        <v>0</v>
      </c>
      <c r="D234" s="89"/>
      <c r="E234" s="91">
        <v>74132</v>
      </c>
      <c r="F234" s="88">
        <v>4</v>
      </c>
      <c r="G234" s="89" t="s">
        <v>5993</v>
      </c>
      <c r="H234" s="89" t="s">
        <v>2005</v>
      </c>
      <c r="I234" s="89" t="s">
        <v>106</v>
      </c>
      <c r="J234" s="89" t="s">
        <v>2006</v>
      </c>
      <c r="K234" s="89" t="s">
        <v>5886</v>
      </c>
    </row>
    <row r="235" spans="1:11" ht="42.75" x14ac:dyDescent="0.25">
      <c r="A235" s="88">
        <v>108</v>
      </c>
      <c r="B235" s="89" t="s">
        <v>318</v>
      </c>
      <c r="C235" s="88" t="s">
        <v>0</v>
      </c>
      <c r="D235" s="89"/>
      <c r="E235" s="91">
        <v>91784</v>
      </c>
      <c r="F235" s="88">
        <v>4</v>
      </c>
      <c r="G235" s="89" t="s">
        <v>2002</v>
      </c>
      <c r="H235" s="89" t="s">
        <v>2003</v>
      </c>
      <c r="I235" s="89" t="s">
        <v>32</v>
      </c>
      <c r="J235" s="89" t="s">
        <v>352</v>
      </c>
      <c r="K235" s="89" t="s">
        <v>5887</v>
      </c>
    </row>
    <row r="236" spans="1:11" ht="71.25" x14ac:dyDescent="0.25">
      <c r="A236" s="88">
        <v>108</v>
      </c>
      <c r="B236" s="89" t="s">
        <v>303</v>
      </c>
      <c r="C236" s="88" t="s">
        <v>0</v>
      </c>
      <c r="D236" s="89"/>
      <c r="E236" s="91">
        <v>31094</v>
      </c>
      <c r="F236" s="88">
        <v>4</v>
      </c>
      <c r="G236" s="89" t="s">
        <v>2018</v>
      </c>
      <c r="H236" s="89" t="s">
        <v>2019</v>
      </c>
      <c r="I236" s="89" t="s">
        <v>2020</v>
      </c>
      <c r="J236" s="89" t="s">
        <v>2021</v>
      </c>
      <c r="K236" s="89" t="s">
        <v>6690</v>
      </c>
    </row>
    <row r="237" spans="1:11" ht="71.25" x14ac:dyDescent="0.25">
      <c r="A237" s="88">
        <v>108</v>
      </c>
      <c r="B237" s="89" t="s">
        <v>1996</v>
      </c>
      <c r="C237" s="88" t="s">
        <v>0</v>
      </c>
      <c r="D237" s="89"/>
      <c r="E237" s="91">
        <v>35155</v>
      </c>
      <c r="F237" s="88">
        <v>4</v>
      </c>
      <c r="G237" s="89" t="s">
        <v>2018</v>
      </c>
      <c r="H237" s="89" t="s">
        <v>2019</v>
      </c>
      <c r="I237" s="89" t="s">
        <v>2020</v>
      </c>
      <c r="J237" s="89" t="s">
        <v>2021</v>
      </c>
      <c r="K237" s="89" t="s">
        <v>6691</v>
      </c>
    </row>
    <row r="238" spans="1:11" ht="42.75" x14ac:dyDescent="0.25">
      <c r="A238" s="88">
        <v>108</v>
      </c>
      <c r="B238" s="89" t="s">
        <v>316</v>
      </c>
      <c r="C238" s="88" t="s">
        <v>0</v>
      </c>
      <c r="D238" s="89"/>
      <c r="E238" s="91">
        <v>79504</v>
      </c>
      <c r="F238" s="88">
        <v>4</v>
      </c>
      <c r="G238" s="89" t="s">
        <v>2002</v>
      </c>
      <c r="H238" s="89" t="s">
        <v>2003</v>
      </c>
      <c r="I238" s="89" t="s">
        <v>32</v>
      </c>
      <c r="J238" s="89" t="s">
        <v>352</v>
      </c>
      <c r="K238" s="89" t="str">
        <f>"00049318"</f>
        <v>00049318</v>
      </c>
    </row>
    <row r="239" spans="1:11" ht="57" x14ac:dyDescent="0.25">
      <c r="A239" s="88">
        <v>108</v>
      </c>
      <c r="B239" s="89" t="s">
        <v>321</v>
      </c>
      <c r="C239" s="88" t="s">
        <v>0</v>
      </c>
      <c r="D239" s="89"/>
      <c r="E239" s="91">
        <v>2358</v>
      </c>
      <c r="F239" s="88">
        <v>4</v>
      </c>
      <c r="G239" s="89" t="s">
        <v>2002</v>
      </c>
      <c r="H239" s="89" t="s">
        <v>2003</v>
      </c>
      <c r="I239" s="89" t="s">
        <v>32</v>
      </c>
      <c r="J239" s="89" t="s">
        <v>352</v>
      </c>
      <c r="K239" s="89" t="str">
        <f>"00049318"</f>
        <v>00049318</v>
      </c>
    </row>
    <row r="240" spans="1:11" ht="57" x14ac:dyDescent="0.25">
      <c r="A240" s="88">
        <v>108</v>
      </c>
      <c r="B240" s="89" t="s">
        <v>321</v>
      </c>
      <c r="C240" s="88" t="s">
        <v>0</v>
      </c>
      <c r="D240" s="89"/>
      <c r="E240" s="91">
        <v>44416</v>
      </c>
      <c r="F240" s="88">
        <v>4</v>
      </c>
      <c r="G240" s="89" t="s">
        <v>2007</v>
      </c>
      <c r="H240" s="89" t="s">
        <v>2008</v>
      </c>
      <c r="I240" s="89" t="s">
        <v>66</v>
      </c>
      <c r="J240" s="89" t="s">
        <v>1237</v>
      </c>
      <c r="K240" s="89" t="s">
        <v>6689</v>
      </c>
    </row>
    <row r="241" spans="1:11" ht="57" x14ac:dyDescent="0.25">
      <c r="A241" s="88">
        <v>108</v>
      </c>
      <c r="B241" s="89" t="s">
        <v>1985</v>
      </c>
      <c r="C241" s="88" t="s">
        <v>0</v>
      </c>
      <c r="D241" s="89"/>
      <c r="E241" s="91">
        <v>120000</v>
      </c>
      <c r="F241" s="88">
        <v>4</v>
      </c>
      <c r="G241" s="89" t="s">
        <v>1986</v>
      </c>
      <c r="H241" s="89" t="s">
        <v>1987</v>
      </c>
      <c r="I241" s="89" t="s">
        <v>32</v>
      </c>
      <c r="J241" s="89" t="s">
        <v>708</v>
      </c>
      <c r="K241" s="89" t="str">
        <f>"00050199"</f>
        <v>00050199</v>
      </c>
    </row>
    <row r="242" spans="1:11" ht="114" x14ac:dyDescent="0.25">
      <c r="A242" s="88">
        <v>108</v>
      </c>
      <c r="B242" s="89" t="s">
        <v>1972</v>
      </c>
      <c r="C242" s="88" t="s">
        <v>0</v>
      </c>
      <c r="D242" s="89"/>
      <c r="E242" s="91">
        <v>92733</v>
      </c>
      <c r="F242" s="88">
        <v>4</v>
      </c>
      <c r="G242" s="89" t="s">
        <v>5994</v>
      </c>
      <c r="H242" s="89" t="s">
        <v>2036</v>
      </c>
      <c r="I242" s="89" t="s">
        <v>32</v>
      </c>
      <c r="J242" s="89" t="s">
        <v>1991</v>
      </c>
      <c r="K242" s="89" t="str">
        <f>"00050413"</f>
        <v>00050413</v>
      </c>
    </row>
    <row r="243" spans="1:11" ht="57" x14ac:dyDescent="0.25">
      <c r="A243" s="88">
        <v>108</v>
      </c>
      <c r="B243" s="89" t="s">
        <v>1996</v>
      </c>
      <c r="C243" s="88" t="s">
        <v>0</v>
      </c>
      <c r="D243" s="89"/>
      <c r="E243" s="91">
        <v>36165</v>
      </c>
      <c r="F243" s="88">
        <v>4</v>
      </c>
      <c r="G243" s="89" t="s">
        <v>1997</v>
      </c>
      <c r="H243" s="89" t="s">
        <v>1998</v>
      </c>
      <c r="I243" s="89" t="s">
        <v>66</v>
      </c>
      <c r="J243" s="89" t="s">
        <v>125</v>
      </c>
      <c r="K243" s="89" t="str">
        <f>"00049197"</f>
        <v>00049197</v>
      </c>
    </row>
    <row r="244" spans="1:11" ht="114" x14ac:dyDescent="0.25">
      <c r="A244" s="88">
        <v>108</v>
      </c>
      <c r="B244" s="89" t="s">
        <v>1983</v>
      </c>
      <c r="C244" s="88" t="s">
        <v>0</v>
      </c>
      <c r="D244" s="89"/>
      <c r="E244" s="91">
        <v>78587</v>
      </c>
      <c r="F244" s="88">
        <v>4</v>
      </c>
      <c r="G244" s="89" t="s">
        <v>5995</v>
      </c>
      <c r="H244" s="89" t="s">
        <v>1784</v>
      </c>
      <c r="I244" s="89" t="s">
        <v>17</v>
      </c>
      <c r="J244" s="89" t="s">
        <v>1984</v>
      </c>
      <c r="K244" s="89" t="str">
        <f>"00049627"</f>
        <v>00049627</v>
      </c>
    </row>
    <row r="245" spans="1:11" ht="57" x14ac:dyDescent="0.25">
      <c r="A245" s="88">
        <v>108</v>
      </c>
      <c r="B245" s="89" t="s">
        <v>1982</v>
      </c>
      <c r="C245" s="88" t="s">
        <v>0</v>
      </c>
      <c r="D245" s="89"/>
      <c r="E245" s="91">
        <v>24000</v>
      </c>
      <c r="F245" s="88">
        <v>4</v>
      </c>
      <c r="G245" s="89" t="s">
        <v>5996</v>
      </c>
      <c r="H245" s="89" t="s">
        <v>1763</v>
      </c>
      <c r="I245" s="89" t="s">
        <v>746</v>
      </c>
      <c r="J245" s="89" t="s">
        <v>747</v>
      </c>
      <c r="K245" s="89" t="s">
        <v>6688</v>
      </c>
    </row>
    <row r="246" spans="1:11" ht="57" x14ac:dyDescent="0.25">
      <c r="A246" s="88">
        <v>108</v>
      </c>
      <c r="B246" s="89" t="s">
        <v>321</v>
      </c>
      <c r="C246" s="88" t="s">
        <v>0</v>
      </c>
      <c r="D246" s="89"/>
      <c r="E246" s="91">
        <v>103596</v>
      </c>
      <c r="F246" s="88">
        <v>4</v>
      </c>
      <c r="G246" s="89" t="s">
        <v>2009</v>
      </c>
      <c r="H246" s="89" t="s">
        <v>2010</v>
      </c>
      <c r="I246" s="89" t="s">
        <v>185</v>
      </c>
      <c r="J246" s="89" t="s">
        <v>2011</v>
      </c>
      <c r="K246" s="89" t="s">
        <v>6687</v>
      </c>
    </row>
    <row r="247" spans="1:11" ht="57" x14ac:dyDescent="0.25">
      <c r="A247" s="88">
        <v>108</v>
      </c>
      <c r="B247" s="89" t="s">
        <v>1979</v>
      </c>
      <c r="C247" s="88" t="s">
        <v>0</v>
      </c>
      <c r="D247" s="89"/>
      <c r="E247" s="91">
        <v>114559</v>
      </c>
      <c r="F247" s="88">
        <v>4</v>
      </c>
      <c r="G247" s="89" t="s">
        <v>1980</v>
      </c>
      <c r="H247" s="89" t="s">
        <v>1981</v>
      </c>
      <c r="I247" s="89" t="s">
        <v>17</v>
      </c>
      <c r="J247" s="89" t="s">
        <v>110</v>
      </c>
      <c r="K247" s="89" t="s">
        <v>6686</v>
      </c>
    </row>
    <row r="248" spans="1:11" ht="57" x14ac:dyDescent="0.25">
      <c r="A248" s="88">
        <v>108</v>
      </c>
      <c r="B248" s="89" t="s">
        <v>2034</v>
      </c>
      <c r="C248" s="88" t="s">
        <v>0</v>
      </c>
      <c r="D248" s="89"/>
      <c r="E248" s="91">
        <v>154942</v>
      </c>
      <c r="F248" s="88">
        <v>4</v>
      </c>
      <c r="G248" s="89" t="s">
        <v>5997</v>
      </c>
      <c r="H248" s="89" t="s">
        <v>2035</v>
      </c>
      <c r="I248" s="89" t="s">
        <v>32</v>
      </c>
      <c r="J248" s="89" t="s">
        <v>708</v>
      </c>
      <c r="K248" s="89" t="s">
        <v>6685</v>
      </c>
    </row>
    <row r="249" spans="1:11" ht="57" x14ac:dyDescent="0.25">
      <c r="A249" s="88">
        <v>108</v>
      </c>
      <c r="B249" s="89" t="s">
        <v>1975</v>
      </c>
      <c r="C249" s="88" t="s">
        <v>0</v>
      </c>
      <c r="D249" s="89"/>
      <c r="E249" s="91">
        <v>100000</v>
      </c>
      <c r="F249" s="88">
        <v>4</v>
      </c>
      <c r="G249" s="89" t="s">
        <v>1976</v>
      </c>
      <c r="H249" s="89" t="s">
        <v>1977</v>
      </c>
      <c r="I249" s="89" t="s">
        <v>32</v>
      </c>
      <c r="J249" s="89" t="s">
        <v>1978</v>
      </c>
      <c r="K249" s="89" t="str">
        <f>"00048736"</f>
        <v>00048736</v>
      </c>
    </row>
    <row r="250" spans="1:11" ht="114" x14ac:dyDescent="0.25">
      <c r="A250" s="88">
        <v>108</v>
      </c>
      <c r="B250" s="89" t="s">
        <v>1988</v>
      </c>
      <c r="C250" s="88" t="s">
        <v>0</v>
      </c>
      <c r="D250" s="89"/>
      <c r="E250" s="91">
        <v>129517</v>
      </c>
      <c r="F250" s="88">
        <v>4</v>
      </c>
      <c r="G250" s="89" t="s">
        <v>1989</v>
      </c>
      <c r="H250" s="89" t="s">
        <v>1990</v>
      </c>
      <c r="I250" s="89" t="s">
        <v>32</v>
      </c>
      <c r="J250" s="89" t="s">
        <v>1991</v>
      </c>
      <c r="K250" s="89" t="s">
        <v>6684</v>
      </c>
    </row>
    <row r="251" spans="1:11" ht="57" x14ac:dyDescent="0.25">
      <c r="A251" s="88">
        <v>108</v>
      </c>
      <c r="B251" s="89" t="s">
        <v>1992</v>
      </c>
      <c r="C251" s="88" t="s">
        <v>0</v>
      </c>
      <c r="D251" s="89"/>
      <c r="E251" s="91">
        <v>39767</v>
      </c>
      <c r="F251" s="88">
        <v>4</v>
      </c>
      <c r="G251" s="89" t="s">
        <v>1993</v>
      </c>
      <c r="H251" s="89" t="s">
        <v>1994</v>
      </c>
      <c r="I251" s="89" t="s">
        <v>185</v>
      </c>
      <c r="J251" s="89" t="s">
        <v>1995</v>
      </c>
      <c r="K251" s="89" t="s">
        <v>6683</v>
      </c>
    </row>
    <row r="252" spans="1:11" ht="71.25" x14ac:dyDescent="0.25">
      <c r="A252" s="88">
        <v>108</v>
      </c>
      <c r="B252" s="89" t="s">
        <v>2041</v>
      </c>
      <c r="C252" s="88" t="s">
        <v>0</v>
      </c>
      <c r="D252" s="89"/>
      <c r="E252" s="91">
        <v>115103</v>
      </c>
      <c r="F252" s="88">
        <v>4</v>
      </c>
      <c r="G252" s="89" t="s">
        <v>5998</v>
      </c>
      <c r="H252" s="89" t="s">
        <v>2042</v>
      </c>
      <c r="I252" s="89" t="s">
        <v>32</v>
      </c>
      <c r="J252" s="89" t="s">
        <v>36</v>
      </c>
      <c r="K252" s="89" t="s">
        <v>5987</v>
      </c>
    </row>
    <row r="253" spans="1:11" ht="57" x14ac:dyDescent="0.25">
      <c r="A253" s="88">
        <v>108</v>
      </c>
      <c r="B253" s="89" t="s">
        <v>310</v>
      </c>
      <c r="C253" s="88" t="s">
        <v>0</v>
      </c>
      <c r="D253" s="89"/>
      <c r="E253" s="91">
        <v>17744</v>
      </c>
      <c r="F253" s="88">
        <v>4</v>
      </c>
      <c r="G253" s="89" t="s">
        <v>2026</v>
      </c>
      <c r="H253" s="89" t="s">
        <v>2027</v>
      </c>
      <c r="I253" s="89" t="s">
        <v>32</v>
      </c>
      <c r="J253" s="89" t="s">
        <v>708</v>
      </c>
      <c r="K253" s="89" t="s">
        <v>5888</v>
      </c>
    </row>
    <row r="254" spans="1:11" ht="42.75" x14ac:dyDescent="0.25">
      <c r="A254" s="88">
        <v>108</v>
      </c>
      <c r="B254" s="89" t="s">
        <v>2028</v>
      </c>
      <c r="C254" s="88" t="s">
        <v>0</v>
      </c>
      <c r="D254" s="89"/>
      <c r="E254" s="91">
        <v>90843</v>
      </c>
      <c r="F254" s="88">
        <v>4</v>
      </c>
      <c r="G254" s="89" t="s">
        <v>2029</v>
      </c>
      <c r="H254" s="89" t="s">
        <v>2030</v>
      </c>
      <c r="I254" s="89" t="s">
        <v>17</v>
      </c>
      <c r="J254" s="89" t="s">
        <v>110</v>
      </c>
      <c r="K254" s="89" t="s">
        <v>6682</v>
      </c>
    </row>
    <row r="255" spans="1:11" ht="42.75" x14ac:dyDescent="0.25">
      <c r="A255" s="88">
        <v>108</v>
      </c>
      <c r="B255" s="89" t="s">
        <v>1982</v>
      </c>
      <c r="C255" s="88" t="s">
        <v>0</v>
      </c>
      <c r="D255" s="89"/>
      <c r="E255" s="91">
        <v>58934</v>
      </c>
      <c r="F255" s="88">
        <v>4</v>
      </c>
      <c r="G255" s="89" t="s">
        <v>2031</v>
      </c>
      <c r="H255" s="89" t="s">
        <v>2032</v>
      </c>
      <c r="I255" s="89" t="s">
        <v>66</v>
      </c>
      <c r="J255" s="89" t="s">
        <v>2033</v>
      </c>
      <c r="K255" s="89" t="s">
        <v>6681</v>
      </c>
    </row>
    <row r="256" spans="1:11" ht="71.25" x14ac:dyDescent="0.25">
      <c r="A256" s="88">
        <v>108</v>
      </c>
      <c r="B256" s="89" t="s">
        <v>2022</v>
      </c>
      <c r="C256" s="88" t="s">
        <v>0</v>
      </c>
      <c r="D256" s="89"/>
      <c r="E256" s="91">
        <v>40012</v>
      </c>
      <c r="F256" s="88">
        <v>4</v>
      </c>
      <c r="G256" s="89" t="s">
        <v>2023</v>
      </c>
      <c r="H256" s="89" t="s">
        <v>2024</v>
      </c>
      <c r="I256" s="89" t="s">
        <v>94</v>
      </c>
      <c r="J256" s="89" t="s">
        <v>2025</v>
      </c>
      <c r="K256" s="89" t="str">
        <f>"00052251"</f>
        <v>00052251</v>
      </c>
    </row>
    <row r="257" spans="1:11" ht="57" x14ac:dyDescent="0.25">
      <c r="A257" s="88">
        <v>108</v>
      </c>
      <c r="B257" s="89" t="s">
        <v>2037</v>
      </c>
      <c r="C257" s="88" t="s">
        <v>0</v>
      </c>
      <c r="D257" s="89"/>
      <c r="E257" s="91">
        <v>16230</v>
      </c>
      <c r="F257" s="88">
        <v>4</v>
      </c>
      <c r="G257" s="89" t="s">
        <v>2038</v>
      </c>
      <c r="H257" s="89" t="s">
        <v>2024</v>
      </c>
      <c r="I257" s="89" t="s">
        <v>94</v>
      </c>
      <c r="J257" s="89" t="s">
        <v>1521</v>
      </c>
      <c r="K257" s="89" t="s">
        <v>6680</v>
      </c>
    </row>
    <row r="258" spans="1:11" ht="57" x14ac:dyDescent="0.25">
      <c r="A258" s="88">
        <v>108</v>
      </c>
      <c r="B258" s="89" t="s">
        <v>2043</v>
      </c>
      <c r="C258" s="88" t="s">
        <v>0</v>
      </c>
      <c r="D258" s="89"/>
      <c r="E258" s="91">
        <v>90535</v>
      </c>
      <c r="F258" s="88">
        <v>4</v>
      </c>
      <c r="G258" s="89" t="s">
        <v>5999</v>
      </c>
      <c r="H258" s="89" t="s">
        <v>2044</v>
      </c>
      <c r="I258" s="89" t="s">
        <v>237</v>
      </c>
      <c r="J258" s="89" t="s">
        <v>2045</v>
      </c>
      <c r="K258" s="89" t="s">
        <v>6679</v>
      </c>
    </row>
    <row r="259" spans="1:11" ht="42.75" x14ac:dyDescent="0.25">
      <c r="A259" s="88">
        <v>108</v>
      </c>
      <c r="B259" s="89" t="s">
        <v>2039</v>
      </c>
      <c r="C259" s="88" t="s">
        <v>0</v>
      </c>
      <c r="D259" s="89"/>
      <c r="E259" s="91">
        <v>74662</v>
      </c>
      <c r="F259" s="88">
        <v>4</v>
      </c>
      <c r="G259" s="89" t="s">
        <v>2040</v>
      </c>
      <c r="H259" s="89" t="s">
        <v>1808</v>
      </c>
      <c r="I259" s="89" t="s">
        <v>135</v>
      </c>
      <c r="J259" s="89" t="s">
        <v>136</v>
      </c>
      <c r="K259" s="89" t="s">
        <v>6678</v>
      </c>
    </row>
    <row r="260" spans="1:11" ht="42.75" x14ac:dyDescent="0.25">
      <c r="A260" s="88">
        <v>108</v>
      </c>
      <c r="B260" s="89" t="s">
        <v>2058</v>
      </c>
      <c r="C260" s="88" t="s">
        <v>0</v>
      </c>
      <c r="D260" s="89"/>
      <c r="E260" s="91">
        <v>47089</v>
      </c>
      <c r="F260" s="88">
        <v>4</v>
      </c>
      <c r="G260" s="89" t="s">
        <v>6000</v>
      </c>
      <c r="H260" s="89" t="s">
        <v>2059</v>
      </c>
      <c r="I260" s="89" t="s">
        <v>32</v>
      </c>
      <c r="J260" s="89" t="s">
        <v>2060</v>
      </c>
      <c r="K260" s="89" t="str">
        <f>"00049728"</f>
        <v>00049728</v>
      </c>
    </row>
    <row r="261" spans="1:11" ht="42.75" x14ac:dyDescent="0.25">
      <c r="A261" s="88">
        <v>108</v>
      </c>
      <c r="B261" s="89" t="s">
        <v>2046</v>
      </c>
      <c r="C261" s="88" t="s">
        <v>0</v>
      </c>
      <c r="D261" s="89"/>
      <c r="E261" s="91">
        <v>48712</v>
      </c>
      <c r="F261" s="88">
        <v>4</v>
      </c>
      <c r="G261" s="89" t="s">
        <v>2047</v>
      </c>
      <c r="H261" s="89" t="s">
        <v>2048</v>
      </c>
      <c r="I261" s="89" t="s">
        <v>787</v>
      </c>
      <c r="J261" s="89" t="s">
        <v>2049</v>
      </c>
      <c r="K261" s="89" t="s">
        <v>6677</v>
      </c>
    </row>
    <row r="262" spans="1:11" ht="57" x14ac:dyDescent="0.25">
      <c r="A262" s="88">
        <v>108</v>
      </c>
      <c r="B262" s="89" t="s">
        <v>2050</v>
      </c>
      <c r="C262" s="88" t="s">
        <v>0</v>
      </c>
      <c r="D262" s="89"/>
      <c r="E262" s="91">
        <v>42499</v>
      </c>
      <c r="F262" s="88">
        <v>4</v>
      </c>
      <c r="G262" s="89" t="s">
        <v>2051</v>
      </c>
      <c r="H262" s="89" t="s">
        <v>2052</v>
      </c>
      <c r="I262" s="89" t="s">
        <v>94</v>
      </c>
      <c r="J262" s="89" t="s">
        <v>1521</v>
      </c>
      <c r="K262" s="89" t="str">
        <f>"00051840"</f>
        <v>00051840</v>
      </c>
    </row>
    <row r="263" spans="1:11" ht="42.75" x14ac:dyDescent="0.25">
      <c r="A263" s="88">
        <v>108</v>
      </c>
      <c r="B263" s="89" t="s">
        <v>2053</v>
      </c>
      <c r="C263" s="88" t="s">
        <v>0</v>
      </c>
      <c r="D263" s="89"/>
      <c r="E263" s="91">
        <v>46177</v>
      </c>
      <c r="F263" s="88">
        <v>4</v>
      </c>
      <c r="G263" s="89" t="s">
        <v>2061</v>
      </c>
      <c r="H263" s="89" t="s">
        <v>2062</v>
      </c>
      <c r="I263" s="89" t="s">
        <v>17</v>
      </c>
      <c r="J263" s="89" t="s">
        <v>110</v>
      </c>
      <c r="K263" s="89" t="str">
        <f>"00049739"</f>
        <v>00049739</v>
      </c>
    </row>
    <row r="264" spans="1:11" ht="42.75" x14ac:dyDescent="0.25">
      <c r="A264" s="88">
        <v>108</v>
      </c>
      <c r="B264" s="89" t="s">
        <v>2063</v>
      </c>
      <c r="C264" s="88" t="s">
        <v>0</v>
      </c>
      <c r="D264" s="89"/>
      <c r="E264" s="91">
        <v>50392</v>
      </c>
      <c r="F264" s="88">
        <v>4</v>
      </c>
      <c r="G264" s="89" t="s">
        <v>2064</v>
      </c>
      <c r="H264" s="89" t="s">
        <v>2065</v>
      </c>
      <c r="I264" s="89" t="s">
        <v>135</v>
      </c>
      <c r="J264" s="89" t="s">
        <v>1430</v>
      </c>
      <c r="K264" s="89" t="str">
        <f>"00048828"</f>
        <v>00048828</v>
      </c>
    </row>
    <row r="265" spans="1:11" ht="71.25" x14ac:dyDescent="0.25">
      <c r="A265" s="88">
        <v>108</v>
      </c>
      <c r="B265" s="89" t="s">
        <v>2053</v>
      </c>
      <c r="C265" s="88" t="s">
        <v>0</v>
      </c>
      <c r="D265" s="89"/>
      <c r="E265" s="91">
        <v>48541</v>
      </c>
      <c r="F265" s="88">
        <v>4</v>
      </c>
      <c r="G265" s="89" t="s">
        <v>2054</v>
      </c>
      <c r="H265" s="89" t="s">
        <v>2055</v>
      </c>
      <c r="I265" s="89" t="s">
        <v>2056</v>
      </c>
      <c r="J265" s="89" t="s">
        <v>2057</v>
      </c>
      <c r="K265" s="25" t="s">
        <v>6676</v>
      </c>
    </row>
    <row r="266" spans="1:11" ht="99.75" x14ac:dyDescent="0.25">
      <c r="A266" s="88">
        <v>108</v>
      </c>
      <c r="B266" s="89" t="s">
        <v>2066</v>
      </c>
      <c r="C266" s="88" t="s">
        <v>0</v>
      </c>
      <c r="D266" s="89"/>
      <c r="E266" s="91">
        <v>38978</v>
      </c>
      <c r="F266" s="88">
        <v>4</v>
      </c>
      <c r="G266" s="89" t="s">
        <v>2067</v>
      </c>
      <c r="H266" s="89" t="s">
        <v>2068</v>
      </c>
      <c r="I266" s="89" t="s">
        <v>185</v>
      </c>
      <c r="J266" s="89" t="s">
        <v>774</v>
      </c>
      <c r="K266" s="89" t="s">
        <v>6675</v>
      </c>
    </row>
    <row r="267" spans="1:11" ht="42.75" x14ac:dyDescent="0.25">
      <c r="A267" s="88">
        <v>108</v>
      </c>
      <c r="B267" s="89" t="s">
        <v>327</v>
      </c>
      <c r="C267" s="88" t="s">
        <v>0</v>
      </c>
      <c r="D267" s="89"/>
      <c r="E267" s="91">
        <v>20000</v>
      </c>
      <c r="F267" s="88">
        <v>4</v>
      </c>
      <c r="G267" s="89" t="s">
        <v>328</v>
      </c>
      <c r="H267" s="89" t="s">
        <v>329</v>
      </c>
      <c r="I267" s="89" t="s">
        <v>66</v>
      </c>
      <c r="J267" s="89" t="s">
        <v>302</v>
      </c>
      <c r="K267" s="89" t="str">
        <f>"00047461"</f>
        <v>00047461</v>
      </c>
    </row>
    <row r="268" spans="1:11" ht="42.75" x14ac:dyDescent="0.25">
      <c r="A268" s="88">
        <v>108</v>
      </c>
      <c r="B268" s="89" t="s">
        <v>4350</v>
      </c>
      <c r="C268" s="88" t="s">
        <v>0</v>
      </c>
      <c r="D268" s="89"/>
      <c r="E268" s="91">
        <v>20000</v>
      </c>
      <c r="F268" s="88">
        <v>4</v>
      </c>
      <c r="G268" s="89" t="s">
        <v>4351</v>
      </c>
      <c r="H268" s="89" t="s">
        <v>516</v>
      </c>
      <c r="I268" s="89" t="s">
        <v>66</v>
      </c>
      <c r="J268" s="89" t="s">
        <v>302</v>
      </c>
      <c r="K268" s="89" t="str">
        <f>"00047638"</f>
        <v>00047638</v>
      </c>
    </row>
    <row r="269" spans="1:11" ht="42.75" x14ac:dyDescent="0.25">
      <c r="A269" s="88">
        <v>108</v>
      </c>
      <c r="B269" s="89" t="s">
        <v>4346</v>
      </c>
      <c r="C269" s="88" t="s">
        <v>0</v>
      </c>
      <c r="D269" s="89"/>
      <c r="E269" s="91">
        <v>4327</v>
      </c>
      <c r="F269" s="88">
        <v>4</v>
      </c>
      <c r="G269" s="89" t="s">
        <v>328</v>
      </c>
      <c r="H269" s="89" t="s">
        <v>329</v>
      </c>
      <c r="I269" s="89" t="s">
        <v>66</v>
      </c>
      <c r="J269" s="89" t="s">
        <v>302</v>
      </c>
      <c r="K269" s="89" t="str">
        <f>"00047461"</f>
        <v>00047461</v>
      </c>
    </row>
    <row r="270" spans="1:11" ht="85.5" x14ac:dyDescent="0.25">
      <c r="A270" s="88">
        <v>108</v>
      </c>
      <c r="B270" s="89" t="s">
        <v>4482</v>
      </c>
      <c r="C270" s="88" t="s">
        <v>0</v>
      </c>
      <c r="D270" s="89"/>
      <c r="E270" s="91">
        <v>23051</v>
      </c>
      <c r="F270" s="88">
        <v>4</v>
      </c>
      <c r="G270" s="89" t="s">
        <v>6001</v>
      </c>
      <c r="H270" s="89" t="s">
        <v>375</v>
      </c>
      <c r="I270" s="89" t="s">
        <v>66</v>
      </c>
      <c r="J270" s="89" t="s">
        <v>315</v>
      </c>
      <c r="K270" s="89" t="str">
        <f>"00047604"</f>
        <v>00047604</v>
      </c>
    </row>
    <row r="271" spans="1:11" ht="42.75" x14ac:dyDescent="0.25">
      <c r="A271" s="88">
        <v>108</v>
      </c>
      <c r="B271" s="89" t="s">
        <v>4348</v>
      </c>
      <c r="C271" s="88" t="s">
        <v>0</v>
      </c>
      <c r="D271" s="89"/>
      <c r="E271" s="91">
        <v>23423</v>
      </c>
      <c r="F271" s="88">
        <v>4</v>
      </c>
      <c r="G271" s="89" t="s">
        <v>4349</v>
      </c>
      <c r="H271" s="89" t="s">
        <v>320</v>
      </c>
      <c r="I271" s="89" t="s">
        <v>66</v>
      </c>
      <c r="J271" s="89" t="s">
        <v>302</v>
      </c>
      <c r="K271" s="89" t="str">
        <f>"00047583"</f>
        <v>00047583</v>
      </c>
    </row>
    <row r="272" spans="1:11" ht="42.75" x14ac:dyDescent="0.25">
      <c r="A272" s="88">
        <v>108</v>
      </c>
      <c r="B272" s="89" t="s">
        <v>4456</v>
      </c>
      <c r="C272" s="88" t="s">
        <v>0</v>
      </c>
      <c r="D272" s="89"/>
      <c r="E272" s="91">
        <v>28086</v>
      </c>
      <c r="F272" s="88">
        <v>4</v>
      </c>
      <c r="G272" s="89" t="s">
        <v>6002</v>
      </c>
      <c r="H272" s="89" t="s">
        <v>4457</v>
      </c>
      <c r="I272" s="89" t="s">
        <v>2231</v>
      </c>
      <c r="J272" s="89" t="s">
        <v>2376</v>
      </c>
      <c r="K272" s="89" t="str">
        <f>"00048639"</f>
        <v>00048639</v>
      </c>
    </row>
    <row r="273" spans="1:11" ht="42.75" x14ac:dyDescent="0.25">
      <c r="A273" s="88">
        <v>108</v>
      </c>
      <c r="B273" s="89" t="s">
        <v>4576</v>
      </c>
      <c r="C273" s="88" t="s">
        <v>0</v>
      </c>
      <c r="D273" s="89"/>
      <c r="E273" s="91">
        <v>15000</v>
      </c>
      <c r="F273" s="88">
        <v>4</v>
      </c>
      <c r="G273" s="89" t="s">
        <v>4577</v>
      </c>
      <c r="H273" s="89" t="s">
        <v>4578</v>
      </c>
      <c r="I273" s="89" t="s">
        <v>17</v>
      </c>
      <c r="J273" s="89" t="s">
        <v>110</v>
      </c>
      <c r="K273" s="89" t="str">
        <f>"00049836"</f>
        <v>00049836</v>
      </c>
    </row>
    <row r="274" spans="1:11" ht="57" x14ac:dyDescent="0.25">
      <c r="A274" s="88">
        <v>108</v>
      </c>
      <c r="B274" s="89" t="s">
        <v>4443</v>
      </c>
      <c r="C274" s="88" t="s">
        <v>0</v>
      </c>
      <c r="D274" s="89"/>
      <c r="E274" s="91">
        <v>44477</v>
      </c>
      <c r="F274" s="88">
        <v>4</v>
      </c>
      <c r="G274" s="89" t="s">
        <v>4444</v>
      </c>
      <c r="H274" s="89" t="s">
        <v>308</v>
      </c>
      <c r="I274" s="89" t="s">
        <v>66</v>
      </c>
      <c r="J274" s="89" t="s">
        <v>302</v>
      </c>
      <c r="K274" s="89" t="s">
        <v>6320</v>
      </c>
    </row>
    <row r="275" spans="1:11" ht="57" x14ac:dyDescent="0.25">
      <c r="A275" s="88">
        <v>108</v>
      </c>
      <c r="B275" s="89" t="s">
        <v>2962</v>
      </c>
      <c r="C275" s="88" t="s">
        <v>0</v>
      </c>
      <c r="D275" s="89"/>
      <c r="E275" s="91">
        <v>20000</v>
      </c>
      <c r="F275" s="88">
        <v>4</v>
      </c>
      <c r="G275" s="89" t="s">
        <v>4447</v>
      </c>
      <c r="H275" s="89" t="s">
        <v>516</v>
      </c>
      <c r="I275" s="89" t="s">
        <v>66</v>
      </c>
      <c r="J275" s="89" t="s">
        <v>302</v>
      </c>
      <c r="K275" s="89" t="s">
        <v>6321</v>
      </c>
    </row>
    <row r="276" spans="1:11" ht="42.75" x14ac:dyDescent="0.25">
      <c r="A276" s="88">
        <v>108</v>
      </c>
      <c r="B276" s="89" t="s">
        <v>4433</v>
      </c>
      <c r="C276" s="88" t="s">
        <v>0</v>
      </c>
      <c r="D276" s="89"/>
      <c r="E276" s="91">
        <v>1365</v>
      </c>
      <c r="F276" s="88">
        <v>4</v>
      </c>
      <c r="G276" s="89" t="s">
        <v>6003</v>
      </c>
      <c r="H276" s="89" t="s">
        <v>1977</v>
      </c>
      <c r="I276" s="89" t="s">
        <v>32</v>
      </c>
      <c r="J276" s="89" t="s">
        <v>1978</v>
      </c>
      <c r="K276" s="89" t="str">
        <f>"00048736"</f>
        <v>00048736</v>
      </c>
    </row>
    <row r="277" spans="1:11" ht="28.5" x14ac:dyDescent="0.25">
      <c r="A277" s="88">
        <v>108</v>
      </c>
      <c r="B277" s="89" t="s">
        <v>26</v>
      </c>
      <c r="C277" s="88" t="s">
        <v>0</v>
      </c>
      <c r="D277" s="94">
        <v>600000</v>
      </c>
      <c r="E277" s="59"/>
      <c r="F277" s="88">
        <v>4</v>
      </c>
      <c r="G277" s="89" t="s">
        <v>29</v>
      </c>
      <c r="H277" s="89"/>
      <c r="I277" s="89" t="s">
        <v>14</v>
      </c>
      <c r="J277" s="89"/>
      <c r="K277" s="89" t="str">
        <f>"　"</f>
        <v>　</v>
      </c>
    </row>
    <row r="278" spans="1:11" ht="42.75" x14ac:dyDescent="0.25">
      <c r="A278" s="88">
        <v>108</v>
      </c>
      <c r="B278" s="89" t="s">
        <v>4194</v>
      </c>
      <c r="C278" s="88" t="s">
        <v>0</v>
      </c>
      <c r="D278" s="89"/>
      <c r="E278" s="90">
        <v>18703</v>
      </c>
      <c r="F278" s="88">
        <v>4</v>
      </c>
      <c r="G278" s="89" t="s">
        <v>4308</v>
      </c>
      <c r="H278" s="89" t="s">
        <v>362</v>
      </c>
      <c r="I278" s="89" t="s">
        <v>152</v>
      </c>
      <c r="J278" s="89" t="s">
        <v>363</v>
      </c>
      <c r="K278" s="89" t="str">
        <f>"00048653"</f>
        <v>00048653</v>
      </c>
    </row>
    <row r="279" spans="1:11" ht="57" x14ac:dyDescent="0.25">
      <c r="A279" s="83">
        <v>108</v>
      </c>
      <c r="B279" s="84" t="s">
        <v>2096</v>
      </c>
      <c r="C279" s="83" t="s">
        <v>0</v>
      </c>
      <c r="D279" s="84"/>
      <c r="E279" s="51">
        <v>115469</v>
      </c>
      <c r="F279" s="83">
        <v>7</v>
      </c>
      <c r="G279" s="84" t="s">
        <v>6004</v>
      </c>
      <c r="H279" s="84" t="s">
        <v>5359</v>
      </c>
      <c r="I279" s="84" t="s">
        <v>106</v>
      </c>
      <c r="J279" s="84" t="s">
        <v>1492</v>
      </c>
      <c r="K279" s="84" t="s">
        <v>5743</v>
      </c>
    </row>
    <row r="280" spans="1:11" ht="57" x14ac:dyDescent="0.25">
      <c r="A280" s="83">
        <v>108</v>
      </c>
      <c r="B280" s="84" t="s">
        <v>26</v>
      </c>
      <c r="C280" s="83" t="s">
        <v>0</v>
      </c>
      <c r="D280" s="29"/>
      <c r="E280" s="51">
        <v>9536</v>
      </c>
      <c r="F280" s="83">
        <v>7</v>
      </c>
      <c r="G280" s="84" t="s">
        <v>1392</v>
      </c>
      <c r="H280" s="77" t="s">
        <v>1393</v>
      </c>
      <c r="I280" s="77" t="s">
        <v>66</v>
      </c>
      <c r="J280" s="77" t="s">
        <v>1366</v>
      </c>
      <c r="K280" s="20" t="s">
        <v>5360</v>
      </c>
    </row>
    <row r="281" spans="1:11" ht="71.25" x14ac:dyDescent="0.25">
      <c r="A281" s="83">
        <v>108</v>
      </c>
      <c r="B281" s="84" t="s">
        <v>2111</v>
      </c>
      <c r="C281" s="83" t="s">
        <v>0</v>
      </c>
      <c r="D281" s="84"/>
      <c r="E281" s="51">
        <v>42000</v>
      </c>
      <c r="F281" s="83">
        <v>4</v>
      </c>
      <c r="G281" s="84" t="s">
        <v>2112</v>
      </c>
      <c r="H281" s="84" t="s">
        <v>1690</v>
      </c>
      <c r="I281" s="84" t="s">
        <v>106</v>
      </c>
      <c r="J281" s="84" t="s">
        <v>1492</v>
      </c>
      <c r="K281" s="84" t="s">
        <v>5744</v>
      </c>
    </row>
    <row r="282" spans="1:11" ht="71.25" x14ac:dyDescent="0.25">
      <c r="A282" s="83">
        <v>108</v>
      </c>
      <c r="B282" s="84" t="s">
        <v>2111</v>
      </c>
      <c r="C282" s="83" t="s">
        <v>0</v>
      </c>
      <c r="D282" s="84"/>
      <c r="E282" s="51">
        <v>42000</v>
      </c>
      <c r="F282" s="83">
        <v>4</v>
      </c>
      <c r="G282" s="84" t="s">
        <v>2112</v>
      </c>
      <c r="H282" s="84" t="s">
        <v>1690</v>
      </c>
      <c r="I282" s="84" t="s">
        <v>106</v>
      </c>
      <c r="J282" s="84" t="s">
        <v>1492</v>
      </c>
      <c r="K282" s="84" t="s">
        <v>5361</v>
      </c>
    </row>
    <row r="283" spans="1:11" ht="71.25" x14ac:dyDescent="0.25">
      <c r="A283" s="83">
        <v>108</v>
      </c>
      <c r="B283" s="84" t="s">
        <v>2111</v>
      </c>
      <c r="C283" s="83" t="s">
        <v>0</v>
      </c>
      <c r="D283" s="84"/>
      <c r="E283" s="51">
        <v>42000</v>
      </c>
      <c r="F283" s="83">
        <v>4</v>
      </c>
      <c r="G283" s="84" t="s">
        <v>2112</v>
      </c>
      <c r="H283" s="84" t="s">
        <v>1690</v>
      </c>
      <c r="I283" s="84" t="s">
        <v>106</v>
      </c>
      <c r="J283" s="84" t="s">
        <v>1492</v>
      </c>
      <c r="K283" s="84" t="s">
        <v>5744</v>
      </c>
    </row>
    <row r="284" spans="1:11" ht="71.25" x14ac:dyDescent="0.25">
      <c r="A284" s="83">
        <v>108</v>
      </c>
      <c r="B284" s="84" t="s">
        <v>2111</v>
      </c>
      <c r="C284" s="83" t="s">
        <v>0</v>
      </c>
      <c r="D284" s="84"/>
      <c r="E284" s="51">
        <v>42000</v>
      </c>
      <c r="F284" s="83">
        <v>4</v>
      </c>
      <c r="G284" s="84" t="s">
        <v>2112</v>
      </c>
      <c r="H284" s="84" t="s">
        <v>1690</v>
      </c>
      <c r="I284" s="84" t="s">
        <v>106</v>
      </c>
      <c r="J284" s="84" t="s">
        <v>1492</v>
      </c>
      <c r="K284" s="84" t="s">
        <v>5745</v>
      </c>
    </row>
    <row r="285" spans="1:11" ht="57" x14ac:dyDescent="0.25">
      <c r="A285" s="88">
        <v>108</v>
      </c>
      <c r="B285" s="89" t="s">
        <v>26</v>
      </c>
      <c r="C285" s="88" t="s">
        <v>0</v>
      </c>
      <c r="D285" s="89"/>
      <c r="E285" s="90">
        <v>36715</v>
      </c>
      <c r="F285" s="88">
        <v>4</v>
      </c>
      <c r="G285" s="89" t="s">
        <v>1424</v>
      </c>
      <c r="H285" s="89" t="s">
        <v>1425</v>
      </c>
      <c r="I285" s="89" t="s">
        <v>66</v>
      </c>
      <c r="J285" s="89" t="s">
        <v>717</v>
      </c>
      <c r="K285" s="89" t="str">
        <f>"00051541"</f>
        <v>00051541</v>
      </c>
    </row>
    <row r="286" spans="1:11" ht="42.75" x14ac:dyDescent="0.25">
      <c r="A286" s="88">
        <v>108</v>
      </c>
      <c r="B286" s="89" t="s">
        <v>26</v>
      </c>
      <c r="C286" s="88" t="s">
        <v>0</v>
      </c>
      <c r="D286" s="89"/>
      <c r="E286" s="90">
        <v>55532</v>
      </c>
      <c r="F286" s="88">
        <v>4</v>
      </c>
      <c r="G286" s="89" t="s">
        <v>1422</v>
      </c>
      <c r="H286" s="89" t="s">
        <v>1423</v>
      </c>
      <c r="I286" s="89" t="s">
        <v>66</v>
      </c>
      <c r="J286" s="89" t="s">
        <v>717</v>
      </c>
      <c r="K286" s="89" t="str">
        <f>"00051463"</f>
        <v>00051463</v>
      </c>
    </row>
    <row r="287" spans="1:11" ht="42.75" x14ac:dyDescent="0.25">
      <c r="A287" s="88">
        <v>108</v>
      </c>
      <c r="B287" s="89" t="s">
        <v>26</v>
      </c>
      <c r="C287" s="88" t="s">
        <v>0</v>
      </c>
      <c r="D287" s="89"/>
      <c r="E287" s="90">
        <v>68892</v>
      </c>
      <c r="F287" s="88">
        <v>4</v>
      </c>
      <c r="G287" s="89" t="s">
        <v>1426</v>
      </c>
      <c r="H287" s="89" t="s">
        <v>1427</v>
      </c>
      <c r="I287" s="89" t="s">
        <v>242</v>
      </c>
      <c r="J287" s="89" t="s">
        <v>1428</v>
      </c>
      <c r="K287" s="89" t="s">
        <v>6322</v>
      </c>
    </row>
    <row r="288" spans="1:11" ht="28.5" x14ac:dyDescent="0.25">
      <c r="A288" s="88">
        <v>108</v>
      </c>
      <c r="B288" s="89" t="s">
        <v>26</v>
      </c>
      <c r="C288" s="88" t="s">
        <v>0</v>
      </c>
      <c r="D288" s="94">
        <v>114404</v>
      </c>
      <c r="E288" s="90"/>
      <c r="F288" s="88">
        <v>4</v>
      </c>
      <c r="G288" s="89" t="s">
        <v>29</v>
      </c>
      <c r="H288" s="89"/>
      <c r="I288" s="89" t="s">
        <v>14</v>
      </c>
      <c r="J288" s="89"/>
      <c r="K288" s="89" t="str">
        <f>"　"</f>
        <v>　</v>
      </c>
    </row>
    <row r="289" spans="1:11" ht="42.75" x14ac:dyDescent="0.25">
      <c r="A289" s="88">
        <v>108</v>
      </c>
      <c r="B289" s="89" t="s">
        <v>26</v>
      </c>
      <c r="C289" s="88" t="s">
        <v>0</v>
      </c>
      <c r="D289" s="89"/>
      <c r="E289" s="90">
        <v>28585</v>
      </c>
      <c r="F289" s="88">
        <v>4</v>
      </c>
      <c r="G289" s="89" t="s">
        <v>1440</v>
      </c>
      <c r="H289" s="89" t="s">
        <v>1434</v>
      </c>
      <c r="I289" s="89" t="s">
        <v>746</v>
      </c>
      <c r="J289" s="89" t="s">
        <v>747</v>
      </c>
      <c r="K289" s="89" t="str">
        <f>"00050477"</f>
        <v>00050477</v>
      </c>
    </row>
    <row r="290" spans="1:11" ht="57" x14ac:dyDescent="0.25">
      <c r="A290" s="88">
        <v>108</v>
      </c>
      <c r="B290" s="89" t="s">
        <v>26</v>
      </c>
      <c r="C290" s="88" t="s">
        <v>0</v>
      </c>
      <c r="D290" s="89"/>
      <c r="E290" s="90">
        <v>28737</v>
      </c>
      <c r="F290" s="88">
        <v>4</v>
      </c>
      <c r="G290" s="89" t="s">
        <v>1433</v>
      </c>
      <c r="H290" s="89" t="s">
        <v>1434</v>
      </c>
      <c r="I290" s="89" t="s">
        <v>746</v>
      </c>
      <c r="J290" s="89" t="s">
        <v>747</v>
      </c>
      <c r="K290" s="89" t="str">
        <f>"00049786"</f>
        <v>00049786</v>
      </c>
    </row>
    <row r="291" spans="1:11" ht="71.25" x14ac:dyDescent="0.25">
      <c r="A291" s="88">
        <v>108</v>
      </c>
      <c r="B291" s="89" t="s">
        <v>26</v>
      </c>
      <c r="C291" s="88" t="s">
        <v>0</v>
      </c>
      <c r="D291" s="89"/>
      <c r="E291" s="90">
        <v>57082</v>
      </c>
      <c r="F291" s="88">
        <v>4</v>
      </c>
      <c r="G291" s="89" t="s">
        <v>1442</v>
      </c>
      <c r="H291" s="89" t="s">
        <v>1443</v>
      </c>
      <c r="I291" s="89" t="s">
        <v>746</v>
      </c>
      <c r="J291" s="89" t="s">
        <v>747</v>
      </c>
      <c r="K291" s="89" t="str">
        <f>"00050547"</f>
        <v>00050547</v>
      </c>
    </row>
    <row r="292" spans="1:11" ht="28.5" x14ac:dyDescent="0.25">
      <c r="A292" s="88">
        <v>108</v>
      </c>
      <c r="B292" s="89" t="s">
        <v>26</v>
      </c>
      <c r="C292" s="88" t="s">
        <v>0</v>
      </c>
      <c r="D292" s="94">
        <v>164844</v>
      </c>
      <c r="E292" s="90"/>
      <c r="F292" s="88">
        <v>4</v>
      </c>
      <c r="G292" s="89" t="s">
        <v>29</v>
      </c>
      <c r="H292" s="89"/>
      <c r="I292" s="89" t="s">
        <v>14</v>
      </c>
      <c r="J292" s="89"/>
      <c r="K292" s="89" t="str">
        <f>"　"</f>
        <v>　</v>
      </c>
    </row>
    <row r="293" spans="1:11" ht="71.25" x14ac:dyDescent="0.25">
      <c r="A293" s="88">
        <v>108</v>
      </c>
      <c r="B293" s="89" t="s">
        <v>26</v>
      </c>
      <c r="C293" s="88" t="s">
        <v>0</v>
      </c>
      <c r="D293" s="89"/>
      <c r="E293" s="90">
        <v>19868</v>
      </c>
      <c r="F293" s="88">
        <v>4</v>
      </c>
      <c r="G293" s="89" t="s">
        <v>1437</v>
      </c>
      <c r="H293" s="89" t="s">
        <v>1441</v>
      </c>
      <c r="I293" s="89" t="s">
        <v>66</v>
      </c>
      <c r="J293" s="89" t="s">
        <v>1439</v>
      </c>
      <c r="K293" s="89" t="str">
        <f>"00050386"</f>
        <v>00050386</v>
      </c>
    </row>
    <row r="294" spans="1:11" ht="71.25" x14ac:dyDescent="0.25">
      <c r="A294" s="88">
        <v>108</v>
      </c>
      <c r="B294" s="89" t="s">
        <v>26</v>
      </c>
      <c r="C294" s="88" t="s">
        <v>0</v>
      </c>
      <c r="D294" s="89"/>
      <c r="E294" s="90">
        <v>32490</v>
      </c>
      <c r="F294" s="88">
        <v>4</v>
      </c>
      <c r="G294" s="89" t="s">
        <v>1437</v>
      </c>
      <c r="H294" s="89" t="s">
        <v>1438</v>
      </c>
      <c r="I294" s="89" t="s">
        <v>66</v>
      </c>
      <c r="J294" s="89" t="s">
        <v>1439</v>
      </c>
      <c r="K294" s="89" t="str">
        <f>"00050358"</f>
        <v>00050358</v>
      </c>
    </row>
    <row r="295" spans="1:11" ht="99.75" x14ac:dyDescent="0.25">
      <c r="A295" s="88">
        <v>108</v>
      </c>
      <c r="B295" s="89" t="s">
        <v>26</v>
      </c>
      <c r="C295" s="88" t="s">
        <v>0</v>
      </c>
      <c r="D295" s="89"/>
      <c r="E295" s="90">
        <v>31410</v>
      </c>
      <c r="F295" s="88">
        <v>4</v>
      </c>
      <c r="G295" s="89" t="s">
        <v>1435</v>
      </c>
      <c r="H295" s="89" t="s">
        <v>1436</v>
      </c>
      <c r="I295" s="89" t="s">
        <v>746</v>
      </c>
      <c r="J295" s="89" t="s">
        <v>747</v>
      </c>
      <c r="K295" s="89" t="s">
        <v>5988</v>
      </c>
    </row>
    <row r="296" spans="1:11" ht="128.25" x14ac:dyDescent="0.25">
      <c r="A296" s="88">
        <v>108</v>
      </c>
      <c r="B296" s="89" t="s">
        <v>26</v>
      </c>
      <c r="C296" s="88" t="s">
        <v>0</v>
      </c>
      <c r="D296" s="89"/>
      <c r="E296" s="90">
        <v>16056</v>
      </c>
      <c r="F296" s="88">
        <v>4</v>
      </c>
      <c r="G296" s="89" t="s">
        <v>1444</v>
      </c>
      <c r="H296" s="89" t="s">
        <v>1445</v>
      </c>
      <c r="I296" s="89" t="s">
        <v>66</v>
      </c>
      <c r="J296" s="89" t="s">
        <v>1446</v>
      </c>
      <c r="K296" s="89" t="str">
        <f>"00052297"</f>
        <v>00052297</v>
      </c>
    </row>
    <row r="297" spans="1:11" ht="42.75" x14ac:dyDescent="0.25">
      <c r="A297" s="88">
        <v>108</v>
      </c>
      <c r="B297" s="89" t="s">
        <v>26</v>
      </c>
      <c r="C297" s="88" t="s">
        <v>0</v>
      </c>
      <c r="D297" s="89"/>
      <c r="E297" s="90">
        <v>31410</v>
      </c>
      <c r="F297" s="88">
        <v>4</v>
      </c>
      <c r="G297" s="89" t="s">
        <v>1431</v>
      </c>
      <c r="H297" s="89" t="s">
        <v>1432</v>
      </c>
      <c r="I297" s="89" t="s">
        <v>746</v>
      </c>
      <c r="J297" s="89" t="s">
        <v>747</v>
      </c>
      <c r="K297" s="89" t="s">
        <v>6674</v>
      </c>
    </row>
    <row r="298" spans="1:11" ht="71.25" x14ac:dyDescent="0.25">
      <c r="A298" s="88">
        <v>108</v>
      </c>
      <c r="B298" s="89" t="s">
        <v>26</v>
      </c>
      <c r="C298" s="88" t="s">
        <v>0</v>
      </c>
      <c r="D298" s="89"/>
      <c r="E298" s="90">
        <v>15610</v>
      </c>
      <c r="F298" s="88">
        <v>4</v>
      </c>
      <c r="G298" s="89" t="s">
        <v>1437</v>
      </c>
      <c r="H298" s="89" t="s">
        <v>1438</v>
      </c>
      <c r="I298" s="89" t="s">
        <v>66</v>
      </c>
      <c r="J298" s="89" t="s">
        <v>1439</v>
      </c>
      <c r="K298" s="89" t="str">
        <f>"00050362"</f>
        <v>00050362</v>
      </c>
    </row>
    <row r="299" spans="1:11" ht="28.5" x14ac:dyDescent="0.25">
      <c r="A299" s="88">
        <v>108</v>
      </c>
      <c r="B299" s="89" t="s">
        <v>12</v>
      </c>
      <c r="C299" s="88" t="s">
        <v>0</v>
      </c>
      <c r="D299" s="91">
        <v>75400000</v>
      </c>
      <c r="E299" s="90"/>
      <c r="F299" s="88">
        <v>4</v>
      </c>
      <c r="G299" s="89" t="s">
        <v>52</v>
      </c>
      <c r="H299" s="89"/>
      <c r="I299" s="89" t="s">
        <v>53</v>
      </c>
      <c r="J299" s="89"/>
      <c r="K299" s="89" t="str">
        <f>"　"</f>
        <v>　</v>
      </c>
    </row>
    <row r="300" spans="1:11" ht="42.75" x14ac:dyDescent="0.25">
      <c r="A300" s="88">
        <v>108</v>
      </c>
      <c r="B300" s="89" t="s">
        <v>360</v>
      </c>
      <c r="C300" s="88" t="s">
        <v>0</v>
      </c>
      <c r="D300" s="89"/>
      <c r="E300" s="90">
        <v>17953</v>
      </c>
      <c r="F300" s="88">
        <v>4</v>
      </c>
      <c r="G300" s="89" t="s">
        <v>371</v>
      </c>
      <c r="H300" s="89" t="s">
        <v>362</v>
      </c>
      <c r="I300" s="89" t="s">
        <v>152</v>
      </c>
      <c r="J300" s="89" t="s">
        <v>370</v>
      </c>
      <c r="K300" s="89" t="s">
        <v>6673</v>
      </c>
    </row>
    <row r="301" spans="1:11" ht="42.75" x14ac:dyDescent="0.25">
      <c r="A301" s="88">
        <v>108</v>
      </c>
      <c r="B301" s="89" t="s">
        <v>360</v>
      </c>
      <c r="C301" s="88" t="s">
        <v>0</v>
      </c>
      <c r="D301" s="89"/>
      <c r="E301" s="90">
        <v>18853</v>
      </c>
      <c r="F301" s="88">
        <v>4</v>
      </c>
      <c r="G301" s="89" t="s">
        <v>361</v>
      </c>
      <c r="H301" s="89" t="s">
        <v>362</v>
      </c>
      <c r="I301" s="89" t="s">
        <v>152</v>
      </c>
      <c r="J301" s="89" t="s">
        <v>363</v>
      </c>
      <c r="K301" s="25" t="s">
        <v>6672</v>
      </c>
    </row>
    <row r="302" spans="1:11" ht="42.75" x14ac:dyDescent="0.25">
      <c r="A302" s="88">
        <v>108</v>
      </c>
      <c r="B302" s="89" t="s">
        <v>360</v>
      </c>
      <c r="C302" s="88" t="s">
        <v>0</v>
      </c>
      <c r="D302" s="89"/>
      <c r="E302" s="90">
        <v>18880</v>
      </c>
      <c r="F302" s="88">
        <v>4</v>
      </c>
      <c r="G302" s="89" t="s">
        <v>364</v>
      </c>
      <c r="H302" s="89" t="s">
        <v>365</v>
      </c>
      <c r="I302" s="89" t="s">
        <v>66</v>
      </c>
      <c r="J302" s="89" t="s">
        <v>148</v>
      </c>
      <c r="K302" s="89" t="s">
        <v>6671</v>
      </c>
    </row>
    <row r="303" spans="1:11" ht="42.75" x14ac:dyDescent="0.25">
      <c r="A303" s="88">
        <v>108</v>
      </c>
      <c r="B303" s="89" t="s">
        <v>367</v>
      </c>
      <c r="C303" s="88" t="s">
        <v>0</v>
      </c>
      <c r="D303" s="89"/>
      <c r="E303" s="90">
        <v>12030</v>
      </c>
      <c r="F303" s="88">
        <v>4</v>
      </c>
      <c r="G303" s="89" t="s">
        <v>368</v>
      </c>
      <c r="H303" s="89" t="s">
        <v>369</v>
      </c>
      <c r="I303" s="89" t="s">
        <v>152</v>
      </c>
      <c r="J303" s="89" t="s">
        <v>370</v>
      </c>
      <c r="K303" s="89" t="s">
        <v>6013</v>
      </c>
    </row>
    <row r="304" spans="1:11" ht="85.5" x14ac:dyDescent="0.25">
      <c r="A304" s="88">
        <v>108</v>
      </c>
      <c r="B304" s="89" t="s">
        <v>367</v>
      </c>
      <c r="C304" s="88" t="s">
        <v>0</v>
      </c>
      <c r="D304" s="89"/>
      <c r="E304" s="90">
        <v>12268</v>
      </c>
      <c r="F304" s="88">
        <v>4</v>
      </c>
      <c r="G304" s="89" t="s">
        <v>5356</v>
      </c>
      <c r="H304" s="89" t="s">
        <v>369</v>
      </c>
      <c r="I304" s="89" t="s">
        <v>152</v>
      </c>
      <c r="J304" s="89" t="s">
        <v>372</v>
      </c>
      <c r="K304" s="25" t="s">
        <v>5889</v>
      </c>
    </row>
    <row r="305" spans="1:11" ht="114" x14ac:dyDescent="0.25">
      <c r="A305" s="88">
        <v>108</v>
      </c>
      <c r="B305" s="89" t="s">
        <v>373</v>
      </c>
      <c r="C305" s="88" t="s">
        <v>0</v>
      </c>
      <c r="D305" s="89"/>
      <c r="E305" s="90">
        <v>116515</v>
      </c>
      <c r="F305" s="88">
        <v>4</v>
      </c>
      <c r="G305" s="89" t="s">
        <v>374</v>
      </c>
      <c r="H305" s="89" t="s">
        <v>375</v>
      </c>
      <c r="I305" s="89" t="s">
        <v>185</v>
      </c>
      <c r="J305" s="89" t="s">
        <v>270</v>
      </c>
      <c r="K305" s="89" t="s">
        <v>5890</v>
      </c>
    </row>
    <row r="306" spans="1:11" ht="42.75" x14ac:dyDescent="0.25">
      <c r="A306" s="88">
        <v>108</v>
      </c>
      <c r="B306" s="89" t="s">
        <v>360</v>
      </c>
      <c r="C306" s="88" t="s">
        <v>0</v>
      </c>
      <c r="D306" s="89"/>
      <c r="E306" s="90">
        <v>16153</v>
      </c>
      <c r="F306" s="88">
        <v>4</v>
      </c>
      <c r="G306" s="89" t="s">
        <v>366</v>
      </c>
      <c r="H306" s="89" t="s">
        <v>362</v>
      </c>
      <c r="I306" s="89" t="s">
        <v>152</v>
      </c>
      <c r="J306" s="89" t="s">
        <v>363</v>
      </c>
      <c r="K306" s="89" t="s">
        <v>6670</v>
      </c>
    </row>
    <row r="307" spans="1:11" ht="42.75" x14ac:dyDescent="0.25">
      <c r="A307" s="88">
        <v>108</v>
      </c>
      <c r="B307" s="89" t="s">
        <v>356</v>
      </c>
      <c r="C307" s="88" t="s">
        <v>0</v>
      </c>
      <c r="D307" s="89"/>
      <c r="E307" s="90">
        <v>103214</v>
      </c>
      <c r="F307" s="88">
        <v>4</v>
      </c>
      <c r="G307" s="89" t="s">
        <v>380</v>
      </c>
      <c r="H307" s="89" t="s">
        <v>381</v>
      </c>
      <c r="I307" s="89" t="s">
        <v>32</v>
      </c>
      <c r="J307" s="89" t="s">
        <v>359</v>
      </c>
      <c r="K307" s="89" t="str">
        <f>"00047225"</f>
        <v>00047225</v>
      </c>
    </row>
    <row r="308" spans="1:11" ht="57" x14ac:dyDescent="0.25">
      <c r="A308" s="88">
        <v>108</v>
      </c>
      <c r="B308" s="89" t="s">
        <v>2085</v>
      </c>
      <c r="C308" s="88" t="s">
        <v>0</v>
      </c>
      <c r="D308" s="89"/>
      <c r="E308" s="90">
        <v>73944</v>
      </c>
      <c r="F308" s="88">
        <v>4</v>
      </c>
      <c r="G308" s="89" t="s">
        <v>2099</v>
      </c>
      <c r="H308" s="89" t="s">
        <v>2100</v>
      </c>
      <c r="I308" s="89" t="s">
        <v>106</v>
      </c>
      <c r="J308" s="89" t="s">
        <v>1492</v>
      </c>
      <c r="K308" s="25" t="s">
        <v>6669</v>
      </c>
    </row>
    <row r="309" spans="1:11" ht="57" x14ac:dyDescent="0.25">
      <c r="A309" s="88">
        <v>108</v>
      </c>
      <c r="B309" s="89" t="s">
        <v>376</v>
      </c>
      <c r="C309" s="88" t="s">
        <v>0</v>
      </c>
      <c r="D309" s="89"/>
      <c r="E309" s="90">
        <v>46762</v>
      </c>
      <c r="F309" s="88">
        <v>4</v>
      </c>
      <c r="G309" s="89" t="s">
        <v>377</v>
      </c>
      <c r="H309" s="89" t="s">
        <v>378</v>
      </c>
      <c r="I309" s="89" t="s">
        <v>32</v>
      </c>
      <c r="J309" s="89" t="s">
        <v>379</v>
      </c>
      <c r="K309" s="89" t="s">
        <v>6668</v>
      </c>
    </row>
    <row r="310" spans="1:11" ht="42.75" x14ac:dyDescent="0.25">
      <c r="A310" s="88">
        <v>108</v>
      </c>
      <c r="B310" s="89" t="s">
        <v>356</v>
      </c>
      <c r="C310" s="88" t="s">
        <v>0</v>
      </c>
      <c r="D310" s="89"/>
      <c r="E310" s="90">
        <v>25000</v>
      </c>
      <c r="F310" s="88">
        <v>4</v>
      </c>
      <c r="G310" s="89" t="s">
        <v>357</v>
      </c>
      <c r="H310" s="89" t="s">
        <v>358</v>
      </c>
      <c r="I310" s="89" t="s">
        <v>32</v>
      </c>
      <c r="J310" s="89" t="s">
        <v>359</v>
      </c>
      <c r="K310" s="89" t="str">
        <f>"00047169"</f>
        <v>00047169</v>
      </c>
    </row>
    <row r="311" spans="1:11" ht="71.25" x14ac:dyDescent="0.25">
      <c r="A311" s="88">
        <v>108</v>
      </c>
      <c r="B311" s="89" t="s">
        <v>2101</v>
      </c>
      <c r="C311" s="88" t="s">
        <v>0</v>
      </c>
      <c r="D311" s="89"/>
      <c r="E311" s="90">
        <v>77632</v>
      </c>
      <c r="F311" s="88">
        <v>4</v>
      </c>
      <c r="G311" s="89" t="s">
        <v>2102</v>
      </c>
      <c r="H311" s="89" t="s">
        <v>1866</v>
      </c>
      <c r="I311" s="89" t="s">
        <v>1582</v>
      </c>
      <c r="J311" s="89" t="s">
        <v>2103</v>
      </c>
      <c r="K311" s="89" t="s">
        <v>6667</v>
      </c>
    </row>
    <row r="312" spans="1:11" ht="71.25" x14ac:dyDescent="0.25">
      <c r="A312" s="88">
        <v>108</v>
      </c>
      <c r="B312" s="89" t="s">
        <v>2104</v>
      </c>
      <c r="C312" s="88" t="s">
        <v>0</v>
      </c>
      <c r="D312" s="89"/>
      <c r="E312" s="90">
        <v>29800</v>
      </c>
      <c r="F312" s="88">
        <v>4</v>
      </c>
      <c r="G312" s="89" t="s">
        <v>2105</v>
      </c>
      <c r="H312" s="89" t="s">
        <v>2106</v>
      </c>
      <c r="I312" s="89" t="s">
        <v>746</v>
      </c>
      <c r="J312" s="89" t="s">
        <v>747</v>
      </c>
      <c r="K312" s="26" t="s">
        <v>5989</v>
      </c>
    </row>
    <row r="313" spans="1:11" ht="57" x14ac:dyDescent="0.25">
      <c r="A313" s="88">
        <v>108</v>
      </c>
      <c r="B313" s="89" t="s">
        <v>2093</v>
      </c>
      <c r="C313" s="88" t="s">
        <v>0</v>
      </c>
      <c r="D313" s="89"/>
      <c r="E313" s="90">
        <v>110000</v>
      </c>
      <c r="F313" s="88">
        <v>4</v>
      </c>
      <c r="G313" s="89" t="s">
        <v>2094</v>
      </c>
      <c r="H313" s="89" t="s">
        <v>2095</v>
      </c>
      <c r="I313" s="89" t="s">
        <v>106</v>
      </c>
      <c r="J313" s="89" t="s">
        <v>1492</v>
      </c>
      <c r="K313" s="89" t="s">
        <v>5891</v>
      </c>
    </row>
    <row r="314" spans="1:11" ht="57" x14ac:dyDescent="0.25">
      <c r="A314" s="88">
        <v>108</v>
      </c>
      <c r="B314" s="89" t="s">
        <v>2096</v>
      </c>
      <c r="C314" s="88" t="s">
        <v>0</v>
      </c>
      <c r="D314" s="89"/>
      <c r="E314" s="90">
        <v>133240</v>
      </c>
      <c r="F314" s="88">
        <v>4</v>
      </c>
      <c r="G314" s="89" t="s">
        <v>2097</v>
      </c>
      <c r="H314" s="89" t="s">
        <v>1842</v>
      </c>
      <c r="I314" s="89" t="s">
        <v>32</v>
      </c>
      <c r="J314" s="89" t="s">
        <v>2098</v>
      </c>
      <c r="K314" s="89" t="str">
        <f>"00047993"</f>
        <v>00047993</v>
      </c>
    </row>
    <row r="315" spans="1:11" ht="57" x14ac:dyDescent="0.25">
      <c r="A315" s="88">
        <v>108</v>
      </c>
      <c r="B315" s="89" t="s">
        <v>2085</v>
      </c>
      <c r="C315" s="88" t="s">
        <v>0</v>
      </c>
      <c r="D315" s="89"/>
      <c r="E315" s="90">
        <v>60000</v>
      </c>
      <c r="F315" s="88">
        <v>4</v>
      </c>
      <c r="G315" s="89" t="s">
        <v>2086</v>
      </c>
      <c r="H315" s="89" t="s">
        <v>2087</v>
      </c>
      <c r="I315" s="89" t="s">
        <v>106</v>
      </c>
      <c r="J315" s="89" t="s">
        <v>1492</v>
      </c>
      <c r="K315" s="89" t="str">
        <f>"00050527"</f>
        <v>00050527</v>
      </c>
    </row>
    <row r="316" spans="1:11" ht="85.5" x14ac:dyDescent="0.25">
      <c r="A316" s="88">
        <v>108</v>
      </c>
      <c r="B316" s="89" t="s">
        <v>2088</v>
      </c>
      <c r="C316" s="88" t="s">
        <v>0</v>
      </c>
      <c r="D316" s="89"/>
      <c r="E316" s="90">
        <v>29396</v>
      </c>
      <c r="F316" s="88">
        <v>4</v>
      </c>
      <c r="G316" s="89" t="s">
        <v>5357</v>
      </c>
      <c r="H316" s="89" t="s">
        <v>1450</v>
      </c>
      <c r="I316" s="89" t="s">
        <v>66</v>
      </c>
      <c r="J316" s="89" t="s">
        <v>2089</v>
      </c>
      <c r="K316" s="89" t="s">
        <v>5892</v>
      </c>
    </row>
    <row r="317" spans="1:11" ht="57" x14ac:dyDescent="0.25">
      <c r="A317" s="88">
        <v>108</v>
      </c>
      <c r="B317" s="89" t="s">
        <v>2090</v>
      </c>
      <c r="C317" s="88" t="s">
        <v>0</v>
      </c>
      <c r="D317" s="89"/>
      <c r="E317" s="90">
        <v>40735</v>
      </c>
      <c r="F317" s="88">
        <v>4</v>
      </c>
      <c r="G317" s="89" t="s">
        <v>2091</v>
      </c>
      <c r="H317" s="89" t="s">
        <v>2092</v>
      </c>
      <c r="I317" s="89" t="s">
        <v>66</v>
      </c>
      <c r="J317" s="89" t="s">
        <v>67</v>
      </c>
      <c r="K317" s="26" t="s">
        <v>5893</v>
      </c>
    </row>
    <row r="318" spans="1:11" ht="42.75" x14ac:dyDescent="0.25">
      <c r="A318" s="88">
        <v>108</v>
      </c>
      <c r="B318" s="89" t="s">
        <v>367</v>
      </c>
      <c r="C318" s="88" t="s">
        <v>0</v>
      </c>
      <c r="D318" s="89"/>
      <c r="E318" s="90">
        <v>13199</v>
      </c>
      <c r="F318" s="88">
        <v>4</v>
      </c>
      <c r="G318" s="89" t="s">
        <v>368</v>
      </c>
      <c r="H318" s="89" t="s">
        <v>369</v>
      </c>
      <c r="I318" s="89" t="s">
        <v>152</v>
      </c>
      <c r="J318" s="89" t="s">
        <v>372</v>
      </c>
      <c r="K318" s="89" t="s">
        <v>6665</v>
      </c>
    </row>
    <row r="319" spans="1:11" ht="114" x14ac:dyDescent="0.25">
      <c r="A319" s="88">
        <v>108</v>
      </c>
      <c r="B319" s="89" t="s">
        <v>2077</v>
      </c>
      <c r="C319" s="88" t="s">
        <v>0</v>
      </c>
      <c r="D319" s="89"/>
      <c r="E319" s="90">
        <v>108890</v>
      </c>
      <c r="F319" s="88">
        <v>4</v>
      </c>
      <c r="G319" s="89" t="s">
        <v>2078</v>
      </c>
      <c r="H319" s="89" t="s">
        <v>2079</v>
      </c>
      <c r="I319" s="89" t="s">
        <v>32</v>
      </c>
      <c r="J319" s="89" t="s">
        <v>2080</v>
      </c>
      <c r="K319" s="89" t="s">
        <v>6666</v>
      </c>
    </row>
    <row r="320" spans="1:11" ht="57" x14ac:dyDescent="0.25">
      <c r="A320" s="88">
        <v>108</v>
      </c>
      <c r="B320" s="89" t="s">
        <v>360</v>
      </c>
      <c r="C320" s="88" t="s">
        <v>0</v>
      </c>
      <c r="D320" s="89"/>
      <c r="E320" s="90">
        <v>118901</v>
      </c>
      <c r="F320" s="88">
        <v>4</v>
      </c>
      <c r="G320" s="89" t="s">
        <v>2109</v>
      </c>
      <c r="H320" s="89" t="s">
        <v>2110</v>
      </c>
      <c r="I320" s="89" t="s">
        <v>106</v>
      </c>
      <c r="J320" s="89" t="s">
        <v>1492</v>
      </c>
      <c r="K320" s="89" t="s">
        <v>6664</v>
      </c>
    </row>
    <row r="321" spans="1:11" ht="57" x14ac:dyDescent="0.25">
      <c r="A321" s="88">
        <v>108</v>
      </c>
      <c r="B321" s="89" t="s">
        <v>2081</v>
      </c>
      <c r="C321" s="88" t="s">
        <v>0</v>
      </c>
      <c r="D321" s="89"/>
      <c r="E321" s="90">
        <v>45351</v>
      </c>
      <c r="F321" s="88">
        <v>4</v>
      </c>
      <c r="G321" s="89" t="s">
        <v>2082</v>
      </c>
      <c r="H321" s="89" t="s">
        <v>2083</v>
      </c>
      <c r="I321" s="89" t="s">
        <v>94</v>
      </c>
      <c r="J321" s="89" t="s">
        <v>2084</v>
      </c>
      <c r="K321" s="89" t="s">
        <v>6663</v>
      </c>
    </row>
    <row r="322" spans="1:11" ht="57" x14ac:dyDescent="0.25">
      <c r="A322" s="88">
        <v>108</v>
      </c>
      <c r="B322" s="89" t="s">
        <v>2113</v>
      </c>
      <c r="C322" s="88" t="s">
        <v>0</v>
      </c>
      <c r="D322" s="89"/>
      <c r="E322" s="90">
        <v>42000</v>
      </c>
      <c r="F322" s="88">
        <v>4</v>
      </c>
      <c r="G322" s="89" t="s">
        <v>2114</v>
      </c>
      <c r="H322" s="89" t="s">
        <v>2100</v>
      </c>
      <c r="I322" s="89" t="s">
        <v>106</v>
      </c>
      <c r="J322" s="89" t="s">
        <v>1492</v>
      </c>
      <c r="K322" s="89" t="s">
        <v>5894</v>
      </c>
    </row>
    <row r="323" spans="1:11" ht="57" x14ac:dyDescent="0.25">
      <c r="A323" s="88">
        <v>108</v>
      </c>
      <c r="B323" s="89" t="s">
        <v>2111</v>
      </c>
      <c r="C323" s="88" t="s">
        <v>0</v>
      </c>
      <c r="D323" s="89"/>
      <c r="E323" s="90">
        <v>42000</v>
      </c>
      <c r="F323" s="88">
        <v>4</v>
      </c>
      <c r="G323" s="89" t="s">
        <v>2112</v>
      </c>
      <c r="H323" s="89" t="s">
        <v>1690</v>
      </c>
      <c r="I323" s="89" t="s">
        <v>106</v>
      </c>
      <c r="J323" s="89" t="s">
        <v>1492</v>
      </c>
      <c r="K323" s="89" t="str">
        <f>"00050844"</f>
        <v>00050844</v>
      </c>
    </row>
    <row r="324" spans="1:11" ht="28.5" x14ac:dyDescent="0.25">
      <c r="A324" s="88">
        <v>108</v>
      </c>
      <c r="B324" s="89" t="s">
        <v>26</v>
      </c>
      <c r="C324" s="88" t="s">
        <v>0</v>
      </c>
      <c r="D324" s="94">
        <v>650000</v>
      </c>
      <c r="E324" s="59"/>
      <c r="F324" s="88">
        <v>4</v>
      </c>
      <c r="G324" s="89" t="s">
        <v>28</v>
      </c>
      <c r="H324" s="89"/>
      <c r="I324" s="89" t="s">
        <v>14</v>
      </c>
      <c r="J324" s="89"/>
      <c r="K324" s="89" t="str">
        <f>"　"</f>
        <v>　</v>
      </c>
    </row>
    <row r="325" spans="1:11" ht="42.75" x14ac:dyDescent="0.25">
      <c r="A325" s="88">
        <v>108</v>
      </c>
      <c r="B325" s="89" t="s">
        <v>26</v>
      </c>
      <c r="C325" s="88" t="s">
        <v>0</v>
      </c>
      <c r="D325" s="89"/>
      <c r="E325" s="58">
        <v>88327</v>
      </c>
      <c r="F325" s="88">
        <v>4</v>
      </c>
      <c r="G325" s="89" t="s">
        <v>1420</v>
      </c>
      <c r="H325" s="89" t="s">
        <v>1421</v>
      </c>
      <c r="I325" s="89" t="s">
        <v>32</v>
      </c>
      <c r="J325" s="89" t="s">
        <v>44</v>
      </c>
      <c r="K325" s="89" t="s">
        <v>6662</v>
      </c>
    </row>
    <row r="326" spans="1:11" ht="28.5" x14ac:dyDescent="0.25">
      <c r="A326" s="88">
        <v>108</v>
      </c>
      <c r="B326" s="89" t="s">
        <v>26</v>
      </c>
      <c r="C326" s="88" t="s">
        <v>0</v>
      </c>
      <c r="D326" s="94">
        <v>1250000</v>
      </c>
      <c r="E326" s="58"/>
      <c r="F326" s="88">
        <v>4</v>
      </c>
      <c r="G326" s="89" t="s">
        <v>844</v>
      </c>
      <c r="H326" s="89"/>
      <c r="I326" s="89" t="s">
        <v>14</v>
      </c>
      <c r="J326" s="89"/>
      <c r="K326" s="89" t="str">
        <f>"　"</f>
        <v>　</v>
      </c>
    </row>
    <row r="327" spans="1:11" ht="42.75" x14ac:dyDescent="0.25">
      <c r="A327" s="88">
        <v>108</v>
      </c>
      <c r="B327" s="89" t="s">
        <v>26</v>
      </c>
      <c r="C327" s="88" t="s">
        <v>0</v>
      </c>
      <c r="D327" s="89"/>
      <c r="E327" s="58">
        <v>79725</v>
      </c>
      <c r="F327" s="88">
        <v>4</v>
      </c>
      <c r="G327" s="89" t="s">
        <v>845</v>
      </c>
      <c r="H327" s="89" t="s">
        <v>846</v>
      </c>
      <c r="I327" s="89" t="s">
        <v>80</v>
      </c>
      <c r="J327" s="89" t="s">
        <v>80</v>
      </c>
      <c r="K327" s="89" t="s">
        <v>6661</v>
      </c>
    </row>
    <row r="328" spans="1:11" ht="114" x14ac:dyDescent="0.25">
      <c r="A328" s="88">
        <v>108</v>
      </c>
      <c r="B328" s="89" t="s">
        <v>26</v>
      </c>
      <c r="C328" s="88" t="s">
        <v>0</v>
      </c>
      <c r="D328" s="89"/>
      <c r="E328" s="58">
        <v>29106</v>
      </c>
      <c r="F328" s="88">
        <v>4</v>
      </c>
      <c r="G328" s="89" t="s">
        <v>3283</v>
      </c>
      <c r="H328" s="89" t="s">
        <v>3284</v>
      </c>
      <c r="I328" s="89" t="s">
        <v>746</v>
      </c>
      <c r="J328" s="89" t="s">
        <v>747</v>
      </c>
      <c r="K328" s="89" t="s">
        <v>6660</v>
      </c>
    </row>
    <row r="329" spans="1:11" ht="42.75" x14ac:dyDescent="0.25">
      <c r="A329" s="88">
        <v>108</v>
      </c>
      <c r="B329" s="89" t="s">
        <v>26</v>
      </c>
      <c r="C329" s="88" t="s">
        <v>0</v>
      </c>
      <c r="D329" s="89"/>
      <c r="E329" s="58">
        <v>16125</v>
      </c>
      <c r="F329" s="88">
        <v>4</v>
      </c>
      <c r="G329" s="89" t="s">
        <v>5358</v>
      </c>
      <c r="H329" s="89" t="s">
        <v>3285</v>
      </c>
      <c r="I329" s="89" t="s">
        <v>94</v>
      </c>
      <c r="J329" s="89" t="s">
        <v>355</v>
      </c>
      <c r="K329" s="89" t="str">
        <f>"00049921"</f>
        <v>00049921</v>
      </c>
    </row>
    <row r="330" spans="1:11" ht="85.5" x14ac:dyDescent="0.25">
      <c r="A330" s="88">
        <v>108</v>
      </c>
      <c r="B330" s="89" t="s">
        <v>26</v>
      </c>
      <c r="C330" s="88" t="s">
        <v>0</v>
      </c>
      <c r="D330" s="89"/>
      <c r="E330" s="58">
        <v>74147</v>
      </c>
      <c r="F330" s="88">
        <v>4</v>
      </c>
      <c r="G330" s="89" t="s">
        <v>3286</v>
      </c>
      <c r="H330" s="89" t="s">
        <v>2958</v>
      </c>
      <c r="I330" s="89" t="s">
        <v>237</v>
      </c>
      <c r="J330" s="89" t="s">
        <v>1715</v>
      </c>
      <c r="K330" s="89" t="str">
        <f>"00047003"</f>
        <v>00047003</v>
      </c>
    </row>
    <row r="331" spans="1:11" x14ac:dyDescent="0.25">
      <c r="A331" s="88">
        <v>108</v>
      </c>
      <c r="B331" s="89" t="s">
        <v>12</v>
      </c>
      <c r="C331" s="88" t="s">
        <v>0</v>
      </c>
      <c r="D331" s="91">
        <v>75400000</v>
      </c>
      <c r="E331" s="59"/>
      <c r="F331" s="88">
        <v>4</v>
      </c>
      <c r="G331" s="89" t="s">
        <v>52</v>
      </c>
      <c r="H331" s="89"/>
      <c r="I331" s="28" t="s">
        <v>53</v>
      </c>
      <c r="J331" s="89"/>
      <c r="K331" s="89" t="str">
        <f>"　"</f>
        <v>　</v>
      </c>
    </row>
    <row r="332" spans="1:11" ht="85.5" x14ac:dyDescent="0.25">
      <c r="A332" s="88">
        <v>108</v>
      </c>
      <c r="B332" s="89" t="s">
        <v>1793</v>
      </c>
      <c r="C332" s="88" t="s">
        <v>0</v>
      </c>
      <c r="D332" s="89"/>
      <c r="E332" s="91">
        <v>73509</v>
      </c>
      <c r="F332" s="88">
        <v>4</v>
      </c>
      <c r="G332" s="89" t="s">
        <v>1789</v>
      </c>
      <c r="H332" s="89" t="s">
        <v>1790</v>
      </c>
      <c r="I332" s="89" t="s">
        <v>1791</v>
      </c>
      <c r="J332" s="89" t="s">
        <v>1792</v>
      </c>
      <c r="K332" s="89" t="str">
        <f>"00047412"</f>
        <v>00047412</v>
      </c>
    </row>
    <row r="333" spans="1:11" ht="42.75" x14ac:dyDescent="0.25">
      <c r="A333" s="88">
        <v>108</v>
      </c>
      <c r="B333" s="89" t="s">
        <v>256</v>
      </c>
      <c r="C333" s="88" t="s">
        <v>0</v>
      </c>
      <c r="D333" s="89"/>
      <c r="E333" s="91">
        <v>7976</v>
      </c>
      <c r="F333" s="88">
        <v>4</v>
      </c>
      <c r="G333" s="89" t="s">
        <v>1785</v>
      </c>
      <c r="H333" s="89" t="s">
        <v>1786</v>
      </c>
      <c r="I333" s="89" t="s">
        <v>763</v>
      </c>
      <c r="J333" s="89" t="s">
        <v>1770</v>
      </c>
      <c r="K333" s="89" t="str">
        <f>"00049590"</f>
        <v>00049590</v>
      </c>
    </row>
    <row r="334" spans="1:11" ht="71.25" x14ac:dyDescent="0.25">
      <c r="A334" s="88">
        <v>108</v>
      </c>
      <c r="B334" s="89" t="s">
        <v>170</v>
      </c>
      <c r="C334" s="88" t="s">
        <v>0</v>
      </c>
      <c r="D334" s="89"/>
      <c r="E334" s="91">
        <v>39984</v>
      </c>
      <c r="F334" s="88">
        <v>4</v>
      </c>
      <c r="G334" s="89" t="s">
        <v>1787</v>
      </c>
      <c r="H334" s="89" t="s">
        <v>228</v>
      </c>
      <c r="I334" s="89" t="s">
        <v>152</v>
      </c>
      <c r="J334" s="89" t="s">
        <v>229</v>
      </c>
      <c r="K334" s="89" t="str">
        <f>"00048872"</f>
        <v>00048872</v>
      </c>
    </row>
    <row r="335" spans="1:11" ht="42.75" x14ac:dyDescent="0.25">
      <c r="A335" s="88">
        <v>108</v>
      </c>
      <c r="B335" s="89" t="s">
        <v>206</v>
      </c>
      <c r="C335" s="88" t="s">
        <v>0</v>
      </c>
      <c r="D335" s="89"/>
      <c r="E335" s="91">
        <v>46844</v>
      </c>
      <c r="F335" s="88">
        <v>4</v>
      </c>
      <c r="G335" s="89" t="s">
        <v>1768</v>
      </c>
      <c r="H335" s="89" t="s">
        <v>1788</v>
      </c>
      <c r="I335" s="89" t="s">
        <v>763</v>
      </c>
      <c r="J335" s="89" t="s">
        <v>1770</v>
      </c>
      <c r="K335" s="89" t="str">
        <f>"00049489"</f>
        <v>00049489</v>
      </c>
    </row>
    <row r="336" spans="1:11" ht="42.75" x14ac:dyDescent="0.25">
      <c r="A336" s="88">
        <v>108</v>
      </c>
      <c r="B336" s="89" t="s">
        <v>1783</v>
      </c>
      <c r="C336" s="88" t="s">
        <v>0</v>
      </c>
      <c r="D336" s="89"/>
      <c r="E336" s="91">
        <v>98894</v>
      </c>
      <c r="F336" s="88">
        <v>4</v>
      </c>
      <c r="G336" s="89" t="s">
        <v>1768</v>
      </c>
      <c r="H336" s="89" t="s">
        <v>1784</v>
      </c>
      <c r="I336" s="89" t="s">
        <v>763</v>
      </c>
      <c r="J336" s="89" t="s">
        <v>1770</v>
      </c>
      <c r="K336" s="89" t="str">
        <f>"00049488"</f>
        <v>00049488</v>
      </c>
    </row>
    <row r="337" spans="1:11" ht="42.75" x14ac:dyDescent="0.25">
      <c r="A337" s="88">
        <v>108</v>
      </c>
      <c r="B337" s="89" t="s">
        <v>1764</v>
      </c>
      <c r="C337" s="88" t="s">
        <v>0</v>
      </c>
      <c r="D337" s="89"/>
      <c r="E337" s="91">
        <v>74063</v>
      </c>
      <c r="F337" s="88">
        <v>4</v>
      </c>
      <c r="G337" s="89" t="s">
        <v>1781</v>
      </c>
      <c r="H337" s="89" t="s">
        <v>1782</v>
      </c>
      <c r="I337" s="89" t="s">
        <v>80</v>
      </c>
      <c r="J337" s="89" t="s">
        <v>80</v>
      </c>
      <c r="K337" s="89" t="str">
        <f>"00049593"</f>
        <v>00049593</v>
      </c>
    </row>
    <row r="338" spans="1:11" ht="85.5" x14ac:dyDescent="0.25">
      <c r="A338" s="88">
        <v>108</v>
      </c>
      <c r="B338" s="89" t="s">
        <v>249</v>
      </c>
      <c r="C338" s="88" t="s">
        <v>0</v>
      </c>
      <c r="D338" s="89"/>
      <c r="E338" s="91">
        <v>22213</v>
      </c>
      <c r="F338" s="88">
        <v>4</v>
      </c>
      <c r="G338" s="89" t="s">
        <v>1789</v>
      </c>
      <c r="H338" s="89" t="s">
        <v>1790</v>
      </c>
      <c r="I338" s="89" t="s">
        <v>1791</v>
      </c>
      <c r="J338" s="89" t="s">
        <v>1792</v>
      </c>
      <c r="K338" s="89" t="str">
        <f>"00047412"</f>
        <v>00047412</v>
      </c>
    </row>
    <row r="339" spans="1:11" ht="42.75" x14ac:dyDescent="0.25">
      <c r="A339" s="88">
        <v>108</v>
      </c>
      <c r="B339" s="89" t="s">
        <v>190</v>
      </c>
      <c r="C339" s="88" t="s">
        <v>0</v>
      </c>
      <c r="D339" s="89"/>
      <c r="E339" s="91">
        <v>72751</v>
      </c>
      <c r="F339" s="88">
        <v>4</v>
      </c>
      <c r="G339" s="89" t="s">
        <v>1762</v>
      </c>
      <c r="H339" s="89" t="s">
        <v>1763</v>
      </c>
      <c r="I339" s="89" t="s">
        <v>80</v>
      </c>
      <c r="J339" s="89" t="s">
        <v>80</v>
      </c>
      <c r="K339" s="89" t="str">
        <f>"00049573"</f>
        <v>00049573</v>
      </c>
    </row>
    <row r="340" spans="1:11" ht="42.75" x14ac:dyDescent="0.25">
      <c r="A340" s="88">
        <v>108</v>
      </c>
      <c r="B340" s="89" t="s">
        <v>1780</v>
      </c>
      <c r="C340" s="88" t="s">
        <v>0</v>
      </c>
      <c r="D340" s="89"/>
      <c r="E340" s="91">
        <v>126370</v>
      </c>
      <c r="F340" s="88">
        <v>4</v>
      </c>
      <c r="G340" s="89" t="s">
        <v>1773</v>
      </c>
      <c r="H340" s="89" t="s">
        <v>1775</v>
      </c>
      <c r="I340" s="89" t="s">
        <v>135</v>
      </c>
      <c r="J340" s="89" t="s">
        <v>1430</v>
      </c>
      <c r="K340" s="89" t="str">
        <f>"00050457"</f>
        <v>00050457</v>
      </c>
    </row>
    <row r="341" spans="1:11" ht="42.75" x14ac:dyDescent="0.25">
      <c r="A341" s="88">
        <v>108</v>
      </c>
      <c r="B341" s="89" t="s">
        <v>190</v>
      </c>
      <c r="C341" s="88" t="s">
        <v>0</v>
      </c>
      <c r="D341" s="89"/>
      <c r="E341" s="91">
        <v>72751</v>
      </c>
      <c r="F341" s="88">
        <v>4</v>
      </c>
      <c r="G341" s="89" t="s">
        <v>1762</v>
      </c>
      <c r="H341" s="89" t="s">
        <v>1763</v>
      </c>
      <c r="I341" s="89" t="s">
        <v>80</v>
      </c>
      <c r="J341" s="89" t="s">
        <v>80</v>
      </c>
      <c r="K341" s="89" t="str">
        <f>"00049568"</f>
        <v>00049568</v>
      </c>
    </row>
    <row r="342" spans="1:11" ht="42.75" x14ac:dyDescent="0.25">
      <c r="A342" s="88">
        <v>108</v>
      </c>
      <c r="B342" s="89" t="s">
        <v>1764</v>
      </c>
      <c r="C342" s="88" t="s">
        <v>0</v>
      </c>
      <c r="D342" s="89"/>
      <c r="E342" s="91">
        <v>28766</v>
      </c>
      <c r="F342" s="88">
        <v>4</v>
      </c>
      <c r="G342" s="89" t="s">
        <v>1765</v>
      </c>
      <c r="H342" s="89" t="s">
        <v>1766</v>
      </c>
      <c r="I342" s="89" t="s">
        <v>80</v>
      </c>
      <c r="J342" s="89" t="s">
        <v>80</v>
      </c>
      <c r="K342" s="89" t="str">
        <f>"00049592"</f>
        <v>00049592</v>
      </c>
    </row>
    <row r="343" spans="1:11" ht="42.75" x14ac:dyDescent="0.25">
      <c r="A343" s="88">
        <v>108</v>
      </c>
      <c r="B343" s="89" t="s">
        <v>1767</v>
      </c>
      <c r="C343" s="88" t="s">
        <v>0</v>
      </c>
      <c r="D343" s="89"/>
      <c r="E343" s="91">
        <v>80000</v>
      </c>
      <c r="F343" s="88">
        <v>4</v>
      </c>
      <c r="G343" s="89" t="s">
        <v>1768</v>
      </c>
      <c r="H343" s="89" t="s">
        <v>1769</v>
      </c>
      <c r="I343" s="89" t="s">
        <v>763</v>
      </c>
      <c r="J343" s="89" t="s">
        <v>1770</v>
      </c>
      <c r="K343" s="89" t="str">
        <f>"00049290"</f>
        <v>00049290</v>
      </c>
    </row>
    <row r="344" spans="1:11" ht="42.75" x14ac:dyDescent="0.25">
      <c r="A344" s="88">
        <v>108</v>
      </c>
      <c r="B344" s="89" t="s">
        <v>195</v>
      </c>
      <c r="C344" s="88" t="s">
        <v>0</v>
      </c>
      <c r="D344" s="89"/>
      <c r="E344" s="91">
        <v>108887</v>
      </c>
      <c r="F344" s="88">
        <v>4</v>
      </c>
      <c r="G344" s="89" t="s">
        <v>1760</v>
      </c>
      <c r="H344" s="89" t="s">
        <v>1761</v>
      </c>
      <c r="I344" s="89" t="s">
        <v>135</v>
      </c>
      <c r="J344" s="89" t="s">
        <v>1430</v>
      </c>
      <c r="K344" s="89" t="str">
        <f>"00050080"</f>
        <v>00050080</v>
      </c>
    </row>
    <row r="345" spans="1:11" ht="42.75" x14ac:dyDescent="0.25">
      <c r="A345" s="88">
        <v>108</v>
      </c>
      <c r="B345" s="89" t="s">
        <v>1753</v>
      </c>
      <c r="C345" s="88" t="s">
        <v>0</v>
      </c>
      <c r="D345" s="89"/>
      <c r="E345" s="91">
        <v>75000</v>
      </c>
      <c r="F345" s="88">
        <v>4</v>
      </c>
      <c r="G345" s="89" t="s">
        <v>1771</v>
      </c>
      <c r="H345" s="89" t="s">
        <v>1772</v>
      </c>
      <c r="I345" s="89" t="s">
        <v>763</v>
      </c>
      <c r="J345" s="89" t="s">
        <v>1770</v>
      </c>
      <c r="K345" s="89" t="str">
        <f>"00048953"</f>
        <v>00048953</v>
      </c>
    </row>
    <row r="346" spans="1:11" ht="57" x14ac:dyDescent="0.25">
      <c r="A346" s="88">
        <v>108</v>
      </c>
      <c r="B346" s="89" t="s">
        <v>170</v>
      </c>
      <c r="C346" s="88" t="s">
        <v>0</v>
      </c>
      <c r="D346" s="89"/>
      <c r="E346" s="91">
        <v>77845</v>
      </c>
      <c r="F346" s="88">
        <v>4</v>
      </c>
      <c r="G346" s="89" t="s">
        <v>1773</v>
      </c>
      <c r="H346" s="89" t="s">
        <v>1761</v>
      </c>
      <c r="I346" s="89" t="s">
        <v>135</v>
      </c>
      <c r="J346" s="89" t="s">
        <v>1430</v>
      </c>
      <c r="K346" s="89" t="str">
        <f>"00050498"</f>
        <v>00050498</v>
      </c>
    </row>
    <row r="347" spans="1:11" ht="42.75" x14ac:dyDescent="0.25">
      <c r="A347" s="88">
        <v>108</v>
      </c>
      <c r="B347" s="89" t="s">
        <v>195</v>
      </c>
      <c r="C347" s="88" t="s">
        <v>0</v>
      </c>
      <c r="D347" s="89"/>
      <c r="E347" s="91">
        <v>25000</v>
      </c>
      <c r="F347" s="88">
        <v>4</v>
      </c>
      <c r="G347" s="89" t="s">
        <v>1774</v>
      </c>
      <c r="H347" s="89" t="s">
        <v>1775</v>
      </c>
      <c r="I347" s="89" t="s">
        <v>135</v>
      </c>
      <c r="J347" s="89" t="s">
        <v>1430</v>
      </c>
      <c r="K347" s="89" t="str">
        <f>"00050639"</f>
        <v>00050639</v>
      </c>
    </row>
    <row r="348" spans="1:11" ht="99.75" x14ac:dyDescent="0.25">
      <c r="A348" s="88">
        <v>108</v>
      </c>
      <c r="B348" s="89" t="s">
        <v>1776</v>
      </c>
      <c r="C348" s="88" t="s">
        <v>0</v>
      </c>
      <c r="D348" s="89"/>
      <c r="E348" s="91">
        <v>44609</v>
      </c>
      <c r="F348" s="88">
        <v>4</v>
      </c>
      <c r="G348" s="89" t="s">
        <v>1773</v>
      </c>
      <c r="H348" s="89" t="s">
        <v>1777</v>
      </c>
      <c r="I348" s="89" t="s">
        <v>135</v>
      </c>
      <c r="J348" s="89" t="s">
        <v>1430</v>
      </c>
      <c r="K348" s="89" t="str">
        <f>"00050277"</f>
        <v>00050277</v>
      </c>
    </row>
    <row r="349" spans="1:11" ht="42.75" x14ac:dyDescent="0.25">
      <c r="A349" s="88">
        <v>108</v>
      </c>
      <c r="B349" s="89" t="s">
        <v>1008</v>
      </c>
      <c r="C349" s="88" t="s">
        <v>0</v>
      </c>
      <c r="D349" s="89"/>
      <c r="E349" s="91">
        <v>49365</v>
      </c>
      <c r="F349" s="88">
        <v>4</v>
      </c>
      <c r="G349" s="89" t="s">
        <v>1760</v>
      </c>
      <c r="H349" s="89" t="s">
        <v>1779</v>
      </c>
      <c r="I349" s="89" t="s">
        <v>135</v>
      </c>
      <c r="J349" s="89" t="s">
        <v>1430</v>
      </c>
      <c r="K349" s="89" t="str">
        <f>"00050078"</f>
        <v>00050078</v>
      </c>
    </row>
    <row r="350" spans="1:11" ht="114" x14ac:dyDescent="0.25">
      <c r="A350" s="88">
        <v>108</v>
      </c>
      <c r="B350" s="89" t="s">
        <v>170</v>
      </c>
      <c r="C350" s="88" t="s">
        <v>0</v>
      </c>
      <c r="D350" s="89"/>
      <c r="E350" s="91">
        <v>47663</v>
      </c>
      <c r="F350" s="88">
        <v>4</v>
      </c>
      <c r="G350" s="78" t="s">
        <v>1725</v>
      </c>
      <c r="H350" s="89" t="s">
        <v>1726</v>
      </c>
      <c r="I350" s="89" t="s">
        <v>152</v>
      </c>
      <c r="J350" s="89" t="s">
        <v>1727</v>
      </c>
      <c r="K350" s="89" t="str">
        <f>"00048577"</f>
        <v>00048577</v>
      </c>
    </row>
    <row r="351" spans="1:11" ht="42.75" x14ac:dyDescent="0.25">
      <c r="A351" s="88">
        <v>108</v>
      </c>
      <c r="B351" s="89" t="s">
        <v>1732</v>
      </c>
      <c r="C351" s="88" t="s">
        <v>0</v>
      </c>
      <c r="D351" s="89"/>
      <c r="E351" s="91">
        <v>7992</v>
      </c>
      <c r="F351" s="88">
        <v>4</v>
      </c>
      <c r="G351" s="89" t="s">
        <v>1733</v>
      </c>
      <c r="H351" s="89" t="s">
        <v>1734</v>
      </c>
      <c r="I351" s="89" t="s">
        <v>185</v>
      </c>
      <c r="J351" s="89" t="s">
        <v>1735</v>
      </c>
      <c r="K351" s="89" t="str">
        <f>"00051662"</f>
        <v>00051662</v>
      </c>
    </row>
    <row r="352" spans="1:11" ht="71.25" x14ac:dyDescent="0.25">
      <c r="A352" s="88">
        <v>108</v>
      </c>
      <c r="B352" s="89" t="s">
        <v>1778</v>
      </c>
      <c r="C352" s="88" t="s">
        <v>0</v>
      </c>
      <c r="D352" s="89"/>
      <c r="E352" s="91">
        <v>96409</v>
      </c>
      <c r="F352" s="88">
        <v>4</v>
      </c>
      <c r="G352" s="89" t="s">
        <v>1773</v>
      </c>
      <c r="H352" s="89" t="s">
        <v>1775</v>
      </c>
      <c r="I352" s="89" t="s">
        <v>135</v>
      </c>
      <c r="J352" s="89" t="s">
        <v>1430</v>
      </c>
      <c r="K352" s="89" t="str">
        <f>"00049946"</f>
        <v>00049946</v>
      </c>
    </row>
    <row r="353" spans="1:11" ht="85.5" x14ac:dyDescent="0.25">
      <c r="A353" s="88">
        <v>108</v>
      </c>
      <c r="B353" s="89" t="s">
        <v>1728</v>
      </c>
      <c r="C353" s="88" t="s">
        <v>0</v>
      </c>
      <c r="D353" s="89"/>
      <c r="E353" s="91">
        <v>11039</v>
      </c>
      <c r="F353" s="88">
        <v>4</v>
      </c>
      <c r="G353" s="89" t="s">
        <v>1729</v>
      </c>
      <c r="H353" s="89" t="s">
        <v>1730</v>
      </c>
      <c r="I353" s="89" t="s">
        <v>185</v>
      </c>
      <c r="J353" s="89" t="s">
        <v>1731</v>
      </c>
      <c r="K353" s="89" t="str">
        <f>"00051486"</f>
        <v>00051486</v>
      </c>
    </row>
    <row r="354" spans="1:11" ht="71.25" x14ac:dyDescent="0.25">
      <c r="A354" s="88">
        <v>108</v>
      </c>
      <c r="B354" s="89" t="s">
        <v>1799</v>
      </c>
      <c r="C354" s="88" t="s">
        <v>0</v>
      </c>
      <c r="D354" s="89"/>
      <c r="E354" s="91">
        <v>83224</v>
      </c>
      <c r="F354" s="88">
        <v>4</v>
      </c>
      <c r="G354" s="78" t="s">
        <v>1800</v>
      </c>
      <c r="H354" s="89" t="s">
        <v>1801</v>
      </c>
      <c r="I354" s="89" t="s">
        <v>185</v>
      </c>
      <c r="J354" s="89" t="s">
        <v>1802</v>
      </c>
      <c r="K354" s="89" t="str">
        <f>"00051498"</f>
        <v>00051498</v>
      </c>
    </row>
    <row r="355" spans="1:11" ht="42.75" x14ac:dyDescent="0.25">
      <c r="A355" s="88">
        <v>108</v>
      </c>
      <c r="B355" s="89" t="s">
        <v>1736</v>
      </c>
      <c r="C355" s="88" t="s">
        <v>0</v>
      </c>
      <c r="D355" s="89"/>
      <c r="E355" s="91">
        <v>90000</v>
      </c>
      <c r="F355" s="88">
        <v>4</v>
      </c>
      <c r="G355" s="78" t="s">
        <v>1737</v>
      </c>
      <c r="H355" s="89" t="s">
        <v>1738</v>
      </c>
      <c r="I355" s="89" t="s">
        <v>106</v>
      </c>
      <c r="J355" s="89" t="s">
        <v>1739</v>
      </c>
      <c r="K355" s="89" t="str">
        <f>"00051287"</f>
        <v>00051287</v>
      </c>
    </row>
    <row r="356" spans="1:11" ht="42.75" x14ac:dyDescent="0.25">
      <c r="A356" s="88">
        <v>108</v>
      </c>
      <c r="B356" s="89" t="s">
        <v>1811</v>
      </c>
      <c r="C356" s="88" t="s">
        <v>0</v>
      </c>
      <c r="D356" s="89"/>
      <c r="E356" s="91">
        <v>32204</v>
      </c>
      <c r="F356" s="88">
        <v>4</v>
      </c>
      <c r="G356" s="89" t="s">
        <v>1812</v>
      </c>
      <c r="H356" s="89" t="s">
        <v>1813</v>
      </c>
      <c r="I356" s="89" t="s">
        <v>66</v>
      </c>
      <c r="J356" s="89" t="s">
        <v>125</v>
      </c>
      <c r="K356" s="89" t="str">
        <f>"00052801"</f>
        <v>00052801</v>
      </c>
    </row>
    <row r="357" spans="1:11" ht="71.25" x14ac:dyDescent="0.25">
      <c r="A357" s="88">
        <v>108</v>
      </c>
      <c r="B357" s="89" t="s">
        <v>1732</v>
      </c>
      <c r="C357" s="88" t="s">
        <v>0</v>
      </c>
      <c r="D357" s="89"/>
      <c r="E357" s="91">
        <v>27144</v>
      </c>
      <c r="F357" s="88">
        <v>4</v>
      </c>
      <c r="G357" s="89" t="s">
        <v>1809</v>
      </c>
      <c r="H357" s="89" t="s">
        <v>1810</v>
      </c>
      <c r="I357" s="89" t="s">
        <v>32</v>
      </c>
      <c r="J357" s="89" t="s">
        <v>294</v>
      </c>
      <c r="K357" s="89" t="str">
        <f>"00052795"</f>
        <v>00052795</v>
      </c>
    </row>
    <row r="358" spans="1:11" ht="71.25" x14ac:dyDescent="0.25">
      <c r="A358" s="88">
        <v>108</v>
      </c>
      <c r="B358" s="89" t="s">
        <v>1806</v>
      </c>
      <c r="C358" s="88" t="s">
        <v>0</v>
      </c>
      <c r="D358" s="89"/>
      <c r="E358" s="91">
        <v>28045</v>
      </c>
      <c r="F358" s="88">
        <v>4</v>
      </c>
      <c r="G358" s="89" t="s">
        <v>1807</v>
      </c>
      <c r="H358" s="89" t="s">
        <v>1808</v>
      </c>
      <c r="I358" s="89" t="s">
        <v>32</v>
      </c>
      <c r="J358" s="89" t="s">
        <v>294</v>
      </c>
      <c r="K358" s="89" t="str">
        <f>"00052097"</f>
        <v>00052097</v>
      </c>
    </row>
    <row r="359" spans="1:11" ht="57" x14ac:dyDescent="0.25">
      <c r="A359" s="88">
        <v>108</v>
      </c>
      <c r="B359" s="89" t="s">
        <v>1803</v>
      </c>
      <c r="C359" s="88" t="s">
        <v>0</v>
      </c>
      <c r="D359" s="89"/>
      <c r="E359" s="91">
        <v>59862</v>
      </c>
      <c r="F359" s="88">
        <v>4</v>
      </c>
      <c r="G359" s="89" t="s">
        <v>1804</v>
      </c>
      <c r="H359" s="89" t="s">
        <v>1805</v>
      </c>
      <c r="I359" s="89" t="s">
        <v>94</v>
      </c>
      <c r="J359" s="89" t="s">
        <v>557</v>
      </c>
      <c r="K359" s="89" t="str">
        <f>"00051612"</f>
        <v>00051612</v>
      </c>
    </row>
    <row r="360" spans="1:11" ht="71.25" x14ac:dyDescent="0.25">
      <c r="A360" s="88">
        <v>108</v>
      </c>
      <c r="B360" s="89" t="s">
        <v>253</v>
      </c>
      <c r="C360" s="88" t="s">
        <v>0</v>
      </c>
      <c r="D360" s="89"/>
      <c r="E360" s="91">
        <v>100000</v>
      </c>
      <c r="F360" s="88">
        <v>4</v>
      </c>
      <c r="G360" s="89" t="s">
        <v>254</v>
      </c>
      <c r="H360" s="89" t="s">
        <v>255</v>
      </c>
      <c r="I360" s="89" t="s">
        <v>32</v>
      </c>
      <c r="J360" s="89" t="s">
        <v>36</v>
      </c>
      <c r="K360" s="89" t="str">
        <f>"00045794"</f>
        <v>00045794</v>
      </c>
    </row>
    <row r="361" spans="1:11" ht="57" x14ac:dyDescent="0.25">
      <c r="A361" s="88">
        <v>108</v>
      </c>
      <c r="B361" s="89" t="s">
        <v>256</v>
      </c>
      <c r="C361" s="88" t="s">
        <v>0</v>
      </c>
      <c r="D361" s="89"/>
      <c r="E361" s="91">
        <v>52276</v>
      </c>
      <c r="F361" s="88">
        <v>4</v>
      </c>
      <c r="G361" s="89" t="s">
        <v>257</v>
      </c>
      <c r="H361" s="89" t="s">
        <v>258</v>
      </c>
      <c r="I361" s="89" t="s">
        <v>32</v>
      </c>
      <c r="J361" s="89" t="s">
        <v>36</v>
      </c>
      <c r="K361" s="89" t="str">
        <f>"00046005"</f>
        <v>00046005</v>
      </c>
    </row>
    <row r="362" spans="1:11" ht="57" x14ac:dyDescent="0.25">
      <c r="A362" s="88">
        <v>108</v>
      </c>
      <c r="B362" s="89" t="s">
        <v>249</v>
      </c>
      <c r="C362" s="88" t="s">
        <v>0</v>
      </c>
      <c r="D362" s="89"/>
      <c r="E362" s="91">
        <v>23007</v>
      </c>
      <c r="F362" s="88">
        <v>4</v>
      </c>
      <c r="G362" s="89" t="s">
        <v>250</v>
      </c>
      <c r="H362" s="89" t="s">
        <v>251</v>
      </c>
      <c r="I362" s="89" t="s">
        <v>32</v>
      </c>
      <c r="J362" s="89" t="s">
        <v>36</v>
      </c>
      <c r="K362" s="89" t="str">
        <f>"00046092"</f>
        <v>00046092</v>
      </c>
    </row>
    <row r="363" spans="1:11" ht="99.75" x14ac:dyDescent="0.25">
      <c r="A363" s="88">
        <v>108</v>
      </c>
      <c r="B363" s="89" t="s">
        <v>195</v>
      </c>
      <c r="C363" s="88" t="s">
        <v>0</v>
      </c>
      <c r="D363" s="89"/>
      <c r="E363" s="91">
        <v>53711</v>
      </c>
      <c r="F363" s="88">
        <v>4</v>
      </c>
      <c r="G363" s="89" t="s">
        <v>196</v>
      </c>
      <c r="H363" s="89" t="s">
        <v>197</v>
      </c>
      <c r="I363" s="89" t="s">
        <v>66</v>
      </c>
      <c r="J363" s="89" t="s">
        <v>125</v>
      </c>
      <c r="K363" s="89" t="str">
        <f>"00046445"</f>
        <v>00046445</v>
      </c>
    </row>
    <row r="364" spans="1:11" ht="99.75" x14ac:dyDescent="0.25">
      <c r="A364" s="88">
        <v>108</v>
      </c>
      <c r="B364" s="89" t="s">
        <v>195</v>
      </c>
      <c r="C364" s="88" t="s">
        <v>0</v>
      </c>
      <c r="D364" s="89"/>
      <c r="E364" s="91">
        <v>53711</v>
      </c>
      <c r="F364" s="88">
        <v>4</v>
      </c>
      <c r="G364" s="89" t="s">
        <v>196</v>
      </c>
      <c r="H364" s="89" t="s">
        <v>197</v>
      </c>
      <c r="I364" s="89" t="s">
        <v>66</v>
      </c>
      <c r="J364" s="89" t="s">
        <v>125</v>
      </c>
      <c r="K364" s="89" t="str">
        <f>"00046446"</f>
        <v>00046446</v>
      </c>
    </row>
    <row r="365" spans="1:11" ht="99.75" x14ac:dyDescent="0.25">
      <c r="A365" s="88">
        <v>108</v>
      </c>
      <c r="B365" s="89" t="s">
        <v>195</v>
      </c>
      <c r="C365" s="88" t="s">
        <v>0</v>
      </c>
      <c r="D365" s="89"/>
      <c r="E365" s="91">
        <v>53711</v>
      </c>
      <c r="F365" s="88">
        <v>4</v>
      </c>
      <c r="G365" s="89" t="s">
        <v>196</v>
      </c>
      <c r="H365" s="89" t="s">
        <v>197</v>
      </c>
      <c r="I365" s="89" t="s">
        <v>66</v>
      </c>
      <c r="J365" s="89" t="s">
        <v>125</v>
      </c>
      <c r="K365" s="89" t="str">
        <f>"00046444"</f>
        <v>00046444</v>
      </c>
    </row>
    <row r="366" spans="1:11" ht="57" x14ac:dyDescent="0.25">
      <c r="A366" s="88">
        <v>108</v>
      </c>
      <c r="B366" s="89" t="s">
        <v>195</v>
      </c>
      <c r="C366" s="88" t="s">
        <v>0</v>
      </c>
      <c r="D366" s="89"/>
      <c r="E366" s="91">
        <v>103495</v>
      </c>
      <c r="F366" s="88">
        <v>4</v>
      </c>
      <c r="G366" s="89" t="s">
        <v>198</v>
      </c>
      <c r="H366" s="89" t="s">
        <v>252</v>
      </c>
      <c r="I366" s="89" t="s">
        <v>32</v>
      </c>
      <c r="J366" s="89" t="s">
        <v>36</v>
      </c>
      <c r="K366" s="89" t="str">
        <f>"00045891"</f>
        <v>00045891</v>
      </c>
    </row>
    <row r="367" spans="1:11" ht="71.25" x14ac:dyDescent="0.25">
      <c r="A367" s="88">
        <v>108</v>
      </c>
      <c r="B367" s="89" t="s">
        <v>178</v>
      </c>
      <c r="C367" s="88" t="s">
        <v>0</v>
      </c>
      <c r="D367" s="89"/>
      <c r="E367" s="91">
        <v>114952</v>
      </c>
      <c r="F367" s="88">
        <v>4</v>
      </c>
      <c r="G367" s="89" t="s">
        <v>179</v>
      </c>
      <c r="H367" s="89" t="s">
        <v>180</v>
      </c>
      <c r="I367" s="89" t="s">
        <v>32</v>
      </c>
      <c r="J367" s="89" t="s">
        <v>36</v>
      </c>
      <c r="K367" s="89" t="str">
        <f>"00046084"</f>
        <v>00046084</v>
      </c>
    </row>
    <row r="368" spans="1:11" ht="99.75" x14ac:dyDescent="0.25">
      <c r="A368" s="88">
        <v>108</v>
      </c>
      <c r="B368" s="89" t="s">
        <v>203</v>
      </c>
      <c r="C368" s="88" t="s">
        <v>0</v>
      </c>
      <c r="D368" s="89"/>
      <c r="E368" s="91">
        <v>94993</v>
      </c>
      <c r="F368" s="88">
        <v>4</v>
      </c>
      <c r="G368" s="89" t="s">
        <v>204</v>
      </c>
      <c r="H368" s="89" t="s">
        <v>205</v>
      </c>
      <c r="I368" s="89" t="s">
        <v>32</v>
      </c>
      <c r="J368" s="89" t="s">
        <v>36</v>
      </c>
      <c r="K368" s="89" t="str">
        <f>"00045136"</f>
        <v>00045136</v>
      </c>
    </row>
    <row r="369" spans="1:11" ht="57" x14ac:dyDescent="0.25">
      <c r="A369" s="88">
        <v>108</v>
      </c>
      <c r="B369" s="89" t="s">
        <v>181</v>
      </c>
      <c r="C369" s="88" t="s">
        <v>0</v>
      </c>
      <c r="D369" s="89"/>
      <c r="E369" s="91">
        <v>39099</v>
      </c>
      <c r="F369" s="88">
        <v>4</v>
      </c>
      <c r="G369" s="89" t="s">
        <v>179</v>
      </c>
      <c r="H369" s="89" t="s">
        <v>182</v>
      </c>
      <c r="I369" s="89" t="s">
        <v>32</v>
      </c>
      <c r="J369" s="89" t="s">
        <v>36</v>
      </c>
      <c r="K369" s="89" t="str">
        <f>"00045558"</f>
        <v>00045558</v>
      </c>
    </row>
    <row r="370" spans="1:11" ht="71.25" x14ac:dyDescent="0.25">
      <c r="A370" s="88">
        <v>108</v>
      </c>
      <c r="B370" s="89" t="s">
        <v>181</v>
      </c>
      <c r="C370" s="88" t="s">
        <v>0</v>
      </c>
      <c r="D370" s="89"/>
      <c r="E370" s="91">
        <v>100000</v>
      </c>
      <c r="F370" s="88">
        <v>4</v>
      </c>
      <c r="G370" s="89" t="s">
        <v>183</v>
      </c>
      <c r="H370" s="89" t="s">
        <v>184</v>
      </c>
      <c r="I370" s="89" t="s">
        <v>185</v>
      </c>
      <c r="J370" s="89" t="s">
        <v>186</v>
      </c>
      <c r="K370" s="89" t="str">
        <f>"00045504"</f>
        <v>00045504</v>
      </c>
    </row>
    <row r="371" spans="1:11" ht="71.25" x14ac:dyDescent="0.25">
      <c r="A371" s="88">
        <v>108</v>
      </c>
      <c r="B371" s="89" t="s">
        <v>187</v>
      </c>
      <c r="C371" s="88" t="s">
        <v>0</v>
      </c>
      <c r="D371" s="89"/>
      <c r="E371" s="91">
        <v>100000</v>
      </c>
      <c r="F371" s="88">
        <v>4</v>
      </c>
      <c r="G371" s="89" t="s">
        <v>188</v>
      </c>
      <c r="H371" s="89" t="s">
        <v>189</v>
      </c>
      <c r="I371" s="89" t="s">
        <v>32</v>
      </c>
      <c r="J371" s="89" t="s">
        <v>36</v>
      </c>
      <c r="K371" s="89" t="str">
        <f>"00045922"</f>
        <v>00045922</v>
      </c>
    </row>
    <row r="372" spans="1:11" ht="57" x14ac:dyDescent="0.25">
      <c r="A372" s="88">
        <v>108</v>
      </c>
      <c r="B372" s="89" t="s">
        <v>190</v>
      </c>
      <c r="C372" s="88" t="s">
        <v>0</v>
      </c>
      <c r="D372" s="89"/>
      <c r="E372" s="91">
        <v>100493</v>
      </c>
      <c r="F372" s="88">
        <v>4</v>
      </c>
      <c r="G372" s="89" t="s">
        <v>191</v>
      </c>
      <c r="H372" s="89" t="s">
        <v>189</v>
      </c>
      <c r="I372" s="89" t="s">
        <v>32</v>
      </c>
      <c r="J372" s="89" t="s">
        <v>36</v>
      </c>
      <c r="K372" s="89" t="str">
        <f>"00046025"</f>
        <v>00046025</v>
      </c>
    </row>
    <row r="373" spans="1:11" ht="57" x14ac:dyDescent="0.25">
      <c r="A373" s="88">
        <v>108</v>
      </c>
      <c r="B373" s="89" t="s">
        <v>192</v>
      </c>
      <c r="C373" s="88" t="s">
        <v>0</v>
      </c>
      <c r="D373" s="89"/>
      <c r="E373" s="91">
        <v>42565</v>
      </c>
      <c r="F373" s="88">
        <v>4</v>
      </c>
      <c r="G373" s="89" t="s">
        <v>193</v>
      </c>
      <c r="H373" s="89" t="s">
        <v>194</v>
      </c>
      <c r="I373" s="89" t="s">
        <v>32</v>
      </c>
      <c r="J373" s="89" t="s">
        <v>36</v>
      </c>
      <c r="K373" s="89" t="str">
        <f>"00045868"</f>
        <v>00045868</v>
      </c>
    </row>
    <row r="374" spans="1:11" ht="57" x14ac:dyDescent="0.25">
      <c r="A374" s="88">
        <v>108</v>
      </c>
      <c r="B374" s="89" t="s">
        <v>195</v>
      </c>
      <c r="C374" s="88" t="s">
        <v>0</v>
      </c>
      <c r="D374" s="89"/>
      <c r="E374" s="91">
        <v>48540</v>
      </c>
      <c r="F374" s="88">
        <v>4</v>
      </c>
      <c r="G374" s="89" t="s">
        <v>198</v>
      </c>
      <c r="H374" s="89" t="s">
        <v>180</v>
      </c>
      <c r="I374" s="89" t="s">
        <v>32</v>
      </c>
      <c r="J374" s="89" t="s">
        <v>36</v>
      </c>
      <c r="K374" s="89" t="str">
        <f>"00045779"</f>
        <v>00045779</v>
      </c>
    </row>
    <row r="375" spans="1:11" ht="57" x14ac:dyDescent="0.25">
      <c r="A375" s="88">
        <v>108</v>
      </c>
      <c r="B375" s="89" t="s">
        <v>170</v>
      </c>
      <c r="C375" s="88" t="s">
        <v>0</v>
      </c>
      <c r="D375" s="89"/>
      <c r="E375" s="91">
        <v>41882</v>
      </c>
      <c r="F375" s="88">
        <v>4</v>
      </c>
      <c r="G375" s="89" t="s">
        <v>175</v>
      </c>
      <c r="H375" s="89" t="s">
        <v>176</v>
      </c>
      <c r="I375" s="89" t="s">
        <v>113</v>
      </c>
      <c r="J375" s="89" t="s">
        <v>177</v>
      </c>
      <c r="K375" s="89" t="str">
        <f>"00046610"</f>
        <v>00046610</v>
      </c>
    </row>
    <row r="376" spans="1:11" ht="71.25" x14ac:dyDescent="0.25">
      <c r="A376" s="88">
        <v>108</v>
      </c>
      <c r="B376" s="89" t="s">
        <v>170</v>
      </c>
      <c r="C376" s="88" t="s">
        <v>0</v>
      </c>
      <c r="D376" s="89"/>
      <c r="E376" s="91">
        <v>75766</v>
      </c>
      <c r="F376" s="88">
        <v>4</v>
      </c>
      <c r="G376" s="89" t="s">
        <v>171</v>
      </c>
      <c r="H376" s="89" t="s">
        <v>172</v>
      </c>
      <c r="I376" s="89" t="s">
        <v>173</v>
      </c>
      <c r="J376" s="89" t="s">
        <v>174</v>
      </c>
      <c r="K376" s="89" t="str">
        <f>"00046485"</f>
        <v>00046485</v>
      </c>
    </row>
    <row r="377" spans="1:11" ht="71.25" x14ac:dyDescent="0.25">
      <c r="A377" s="88">
        <v>108</v>
      </c>
      <c r="B377" s="89" t="s">
        <v>170</v>
      </c>
      <c r="C377" s="88" t="s">
        <v>0</v>
      </c>
      <c r="D377" s="89"/>
      <c r="E377" s="91">
        <v>75546</v>
      </c>
      <c r="F377" s="88">
        <v>4</v>
      </c>
      <c r="G377" s="89" t="s">
        <v>171</v>
      </c>
      <c r="H377" s="89" t="s">
        <v>172</v>
      </c>
      <c r="I377" s="89" t="s">
        <v>173</v>
      </c>
      <c r="J377" s="89" t="s">
        <v>174</v>
      </c>
      <c r="K377" s="89" t="str">
        <f>"00046482"</f>
        <v>00046482</v>
      </c>
    </row>
    <row r="378" spans="1:11" ht="71.25" x14ac:dyDescent="0.25">
      <c r="A378" s="88">
        <v>108</v>
      </c>
      <c r="B378" s="89" t="s">
        <v>170</v>
      </c>
      <c r="C378" s="88" t="s">
        <v>0</v>
      </c>
      <c r="D378" s="89"/>
      <c r="E378" s="91">
        <v>75766</v>
      </c>
      <c r="F378" s="88">
        <v>4</v>
      </c>
      <c r="G378" s="89" t="s">
        <v>171</v>
      </c>
      <c r="H378" s="89" t="s">
        <v>172</v>
      </c>
      <c r="I378" s="89" t="s">
        <v>173</v>
      </c>
      <c r="J378" s="89" t="s">
        <v>174</v>
      </c>
      <c r="K378" s="89" t="str">
        <f>"00046488"</f>
        <v>00046488</v>
      </c>
    </row>
    <row r="379" spans="1:11" ht="71.25" x14ac:dyDescent="0.25">
      <c r="A379" s="88">
        <v>108</v>
      </c>
      <c r="B379" s="89" t="s">
        <v>170</v>
      </c>
      <c r="C379" s="88" t="s">
        <v>0</v>
      </c>
      <c r="D379" s="89"/>
      <c r="E379" s="91">
        <v>75766</v>
      </c>
      <c r="F379" s="88">
        <v>4</v>
      </c>
      <c r="G379" s="89" t="s">
        <v>171</v>
      </c>
      <c r="H379" s="89" t="s">
        <v>172</v>
      </c>
      <c r="I379" s="89" t="s">
        <v>173</v>
      </c>
      <c r="J379" s="89" t="s">
        <v>174</v>
      </c>
      <c r="K379" s="89" t="str">
        <f>"00046484"</f>
        <v>00046484</v>
      </c>
    </row>
    <row r="380" spans="1:11" ht="71.25" x14ac:dyDescent="0.25">
      <c r="A380" s="88">
        <v>108</v>
      </c>
      <c r="B380" s="89" t="s">
        <v>170</v>
      </c>
      <c r="C380" s="88" t="s">
        <v>0</v>
      </c>
      <c r="D380" s="89"/>
      <c r="E380" s="91">
        <v>78146</v>
      </c>
      <c r="F380" s="88">
        <v>4</v>
      </c>
      <c r="G380" s="89" t="s">
        <v>171</v>
      </c>
      <c r="H380" s="89" t="s">
        <v>172</v>
      </c>
      <c r="I380" s="89" t="s">
        <v>173</v>
      </c>
      <c r="J380" s="89" t="s">
        <v>174</v>
      </c>
      <c r="K380" s="89" t="str">
        <f>"00046387"</f>
        <v>00046387</v>
      </c>
    </row>
    <row r="381" spans="1:11" ht="57" x14ac:dyDescent="0.25">
      <c r="A381" s="88">
        <v>108</v>
      </c>
      <c r="B381" s="89" t="s">
        <v>170</v>
      </c>
      <c r="C381" s="88" t="s">
        <v>0</v>
      </c>
      <c r="D381" s="89"/>
      <c r="E381" s="91">
        <v>74455</v>
      </c>
      <c r="F381" s="88">
        <v>4</v>
      </c>
      <c r="G381" s="89" t="s">
        <v>199</v>
      </c>
      <c r="H381" s="89" t="s">
        <v>200</v>
      </c>
      <c r="I381" s="89" t="s">
        <v>201</v>
      </c>
      <c r="J381" s="89" t="s">
        <v>202</v>
      </c>
      <c r="K381" s="89" t="str">
        <f>"00046034"</f>
        <v>00046034</v>
      </c>
    </row>
    <row r="382" spans="1:11" ht="71.25" x14ac:dyDescent="0.25">
      <c r="A382" s="88">
        <v>108</v>
      </c>
      <c r="B382" s="89" t="s">
        <v>170</v>
      </c>
      <c r="C382" s="88" t="s">
        <v>0</v>
      </c>
      <c r="D382" s="89"/>
      <c r="E382" s="91">
        <v>75766</v>
      </c>
      <c r="F382" s="88">
        <v>4</v>
      </c>
      <c r="G382" s="89" t="s">
        <v>171</v>
      </c>
      <c r="H382" s="89" t="s">
        <v>172</v>
      </c>
      <c r="I382" s="89" t="s">
        <v>173</v>
      </c>
      <c r="J382" s="89" t="s">
        <v>174</v>
      </c>
      <c r="K382" s="89" t="str">
        <f>"00046486"</f>
        <v>00046486</v>
      </c>
    </row>
    <row r="383" spans="1:11" ht="42.75" x14ac:dyDescent="0.25">
      <c r="A383" s="88">
        <v>108</v>
      </c>
      <c r="B383" s="89" t="s">
        <v>206</v>
      </c>
      <c r="C383" s="88" t="s">
        <v>0</v>
      </c>
      <c r="D383" s="89"/>
      <c r="E383" s="91">
        <v>33136</v>
      </c>
      <c r="F383" s="88">
        <v>4</v>
      </c>
      <c r="G383" s="89" t="s">
        <v>207</v>
      </c>
      <c r="H383" s="89" t="s">
        <v>208</v>
      </c>
      <c r="I383" s="89" t="s">
        <v>209</v>
      </c>
      <c r="J383" s="89" t="s">
        <v>210</v>
      </c>
      <c r="K383" s="89" t="str">
        <f>"00047776"</f>
        <v>00047776</v>
      </c>
    </row>
    <row r="384" spans="1:11" ht="71.25" x14ac:dyDescent="0.25">
      <c r="A384" s="88">
        <v>108</v>
      </c>
      <c r="B384" s="89" t="s">
        <v>211</v>
      </c>
      <c r="C384" s="88" t="s">
        <v>0</v>
      </c>
      <c r="D384" s="89"/>
      <c r="E384" s="91">
        <v>60000</v>
      </c>
      <c r="F384" s="88">
        <v>4</v>
      </c>
      <c r="G384" s="89" t="s">
        <v>207</v>
      </c>
      <c r="H384" s="89" t="s">
        <v>213</v>
      </c>
      <c r="I384" s="89" t="s">
        <v>209</v>
      </c>
      <c r="J384" s="89" t="s">
        <v>210</v>
      </c>
      <c r="K384" s="89" t="str">
        <f>"00048066"</f>
        <v>00048066</v>
      </c>
    </row>
    <row r="385" spans="1:11" ht="57" x14ac:dyDescent="0.25">
      <c r="A385" s="88">
        <v>108</v>
      </c>
      <c r="B385" s="89" t="s">
        <v>219</v>
      </c>
      <c r="C385" s="88" t="s">
        <v>0</v>
      </c>
      <c r="D385" s="89"/>
      <c r="E385" s="91">
        <v>100000</v>
      </c>
      <c r="F385" s="88">
        <v>4</v>
      </c>
      <c r="G385" s="89" t="s">
        <v>220</v>
      </c>
      <c r="H385" s="89" t="s">
        <v>221</v>
      </c>
      <c r="I385" s="89" t="s">
        <v>209</v>
      </c>
      <c r="J385" s="89" t="s">
        <v>210</v>
      </c>
      <c r="K385" s="89" t="str">
        <f>"00047636"</f>
        <v>00047636</v>
      </c>
    </row>
    <row r="386" spans="1:11" ht="71.25" x14ac:dyDescent="0.25">
      <c r="A386" s="88">
        <v>108</v>
      </c>
      <c r="B386" s="89" t="s">
        <v>211</v>
      </c>
      <c r="C386" s="88" t="s">
        <v>0</v>
      </c>
      <c r="D386" s="89"/>
      <c r="E386" s="91">
        <v>64000</v>
      </c>
      <c r="F386" s="88">
        <v>4</v>
      </c>
      <c r="G386" s="89" t="s">
        <v>212</v>
      </c>
      <c r="H386" s="89" t="s">
        <v>213</v>
      </c>
      <c r="I386" s="89" t="s">
        <v>209</v>
      </c>
      <c r="J386" s="89" t="s">
        <v>210</v>
      </c>
      <c r="K386" s="89" t="str">
        <f>"00047780"</f>
        <v>00047780</v>
      </c>
    </row>
    <row r="387" spans="1:11" ht="99.75" x14ac:dyDescent="0.25">
      <c r="A387" s="88">
        <v>108</v>
      </c>
      <c r="B387" s="89" t="s">
        <v>214</v>
      </c>
      <c r="C387" s="88" t="s">
        <v>0</v>
      </c>
      <c r="D387" s="89"/>
      <c r="E387" s="91">
        <v>15739</v>
      </c>
      <c r="F387" s="88">
        <v>4</v>
      </c>
      <c r="G387" s="89" t="s">
        <v>215</v>
      </c>
      <c r="H387" s="89" t="s">
        <v>216</v>
      </c>
      <c r="I387" s="89" t="s">
        <v>209</v>
      </c>
      <c r="J387" s="89" t="s">
        <v>210</v>
      </c>
      <c r="K387" s="89" t="str">
        <f>"00047718"</f>
        <v>00047718</v>
      </c>
    </row>
    <row r="388" spans="1:11" ht="42.75" x14ac:dyDescent="0.25">
      <c r="A388" s="88">
        <v>108</v>
      </c>
      <c r="B388" s="89" t="s">
        <v>217</v>
      </c>
      <c r="C388" s="88" t="s">
        <v>0</v>
      </c>
      <c r="D388" s="89"/>
      <c r="E388" s="91">
        <v>78709</v>
      </c>
      <c r="F388" s="88">
        <v>4</v>
      </c>
      <c r="G388" s="89" t="s">
        <v>207</v>
      </c>
      <c r="H388" s="89" t="s">
        <v>218</v>
      </c>
      <c r="I388" s="89" t="s">
        <v>209</v>
      </c>
      <c r="J388" s="89" t="s">
        <v>210</v>
      </c>
      <c r="K388" s="89" t="str">
        <f>"00048337"</f>
        <v>00048337</v>
      </c>
    </row>
    <row r="389" spans="1:11" ht="85.5" x14ac:dyDescent="0.25">
      <c r="A389" s="88">
        <v>108</v>
      </c>
      <c r="B389" s="89" t="s">
        <v>170</v>
      </c>
      <c r="C389" s="88" t="s">
        <v>0</v>
      </c>
      <c r="D389" s="89"/>
      <c r="E389" s="91">
        <v>64082</v>
      </c>
      <c r="F389" s="88">
        <v>4</v>
      </c>
      <c r="G389" s="89" t="s">
        <v>245</v>
      </c>
      <c r="H389" s="89" t="s">
        <v>246</v>
      </c>
      <c r="I389" s="89" t="s">
        <v>113</v>
      </c>
      <c r="J389" s="89" t="s">
        <v>177</v>
      </c>
      <c r="K389" s="89" t="str">
        <f>"00046871"</f>
        <v>00046871</v>
      </c>
    </row>
    <row r="390" spans="1:11" ht="71.25" x14ac:dyDescent="0.25">
      <c r="A390" s="88">
        <v>108</v>
      </c>
      <c r="B390" s="89" t="s">
        <v>234</v>
      </c>
      <c r="C390" s="88" t="s">
        <v>0</v>
      </c>
      <c r="D390" s="89"/>
      <c r="E390" s="91">
        <v>72925</v>
      </c>
      <c r="F390" s="88">
        <v>4</v>
      </c>
      <c r="G390" s="89" t="s">
        <v>235</v>
      </c>
      <c r="H390" s="89" t="s">
        <v>236</v>
      </c>
      <c r="I390" s="89" t="s">
        <v>237</v>
      </c>
      <c r="J390" s="89" t="s">
        <v>238</v>
      </c>
      <c r="K390" s="89" t="str">
        <f>"00046895"</f>
        <v>00046895</v>
      </c>
    </row>
    <row r="391" spans="1:11" ht="128.25" x14ac:dyDescent="0.25">
      <c r="A391" s="88">
        <v>108</v>
      </c>
      <c r="B391" s="89" t="s">
        <v>170</v>
      </c>
      <c r="C391" s="88" t="s">
        <v>0</v>
      </c>
      <c r="D391" s="89"/>
      <c r="E391" s="91">
        <v>48367</v>
      </c>
      <c r="F391" s="88">
        <v>4</v>
      </c>
      <c r="G391" s="89" t="s">
        <v>230</v>
      </c>
      <c r="H391" s="89" t="s">
        <v>70</v>
      </c>
      <c r="I391" s="89" t="s">
        <v>113</v>
      </c>
      <c r="J391" s="89" t="s">
        <v>177</v>
      </c>
      <c r="K391" s="89" t="str">
        <f>"00046905"</f>
        <v>00046905</v>
      </c>
    </row>
    <row r="392" spans="1:11" ht="57" x14ac:dyDescent="0.25">
      <c r="A392" s="88">
        <v>108</v>
      </c>
      <c r="B392" s="89" t="s">
        <v>170</v>
      </c>
      <c r="C392" s="88" t="s">
        <v>0</v>
      </c>
      <c r="D392" s="89"/>
      <c r="E392" s="91">
        <v>41608</v>
      </c>
      <c r="F392" s="88">
        <v>4</v>
      </c>
      <c r="G392" s="89" t="s">
        <v>231</v>
      </c>
      <c r="H392" s="89" t="s">
        <v>232</v>
      </c>
      <c r="I392" s="89" t="s">
        <v>113</v>
      </c>
      <c r="J392" s="89" t="s">
        <v>177</v>
      </c>
      <c r="K392" s="89" t="str">
        <f>"00046900"</f>
        <v>00046900</v>
      </c>
    </row>
    <row r="393" spans="1:11" ht="99.75" x14ac:dyDescent="0.25">
      <c r="A393" s="88">
        <v>108</v>
      </c>
      <c r="B393" s="89" t="s">
        <v>203</v>
      </c>
      <c r="C393" s="88" t="s">
        <v>0</v>
      </c>
      <c r="D393" s="89"/>
      <c r="E393" s="91">
        <v>99854</v>
      </c>
      <c r="F393" s="88">
        <v>4</v>
      </c>
      <c r="G393" s="89" t="s">
        <v>240</v>
      </c>
      <c r="H393" s="89" t="s">
        <v>241</v>
      </c>
      <c r="I393" s="89" t="s">
        <v>242</v>
      </c>
      <c r="J393" s="89" t="s">
        <v>243</v>
      </c>
      <c r="K393" s="89" t="s">
        <v>6659</v>
      </c>
    </row>
    <row r="394" spans="1:11" ht="128.25" x14ac:dyDescent="0.25">
      <c r="A394" s="88">
        <v>108</v>
      </c>
      <c r="B394" s="89" t="s">
        <v>170</v>
      </c>
      <c r="C394" s="88" t="s">
        <v>0</v>
      </c>
      <c r="D394" s="89"/>
      <c r="E394" s="91">
        <v>51733</v>
      </c>
      <c r="F394" s="88">
        <v>4</v>
      </c>
      <c r="G394" s="89" t="s">
        <v>230</v>
      </c>
      <c r="H394" s="89" t="s">
        <v>239</v>
      </c>
      <c r="I394" s="89" t="s">
        <v>113</v>
      </c>
      <c r="J394" s="89" t="s">
        <v>177</v>
      </c>
      <c r="K394" s="89" t="str">
        <f>"00046908"</f>
        <v>00046908</v>
      </c>
    </row>
    <row r="395" spans="1:11" ht="128.25" x14ac:dyDescent="0.25">
      <c r="A395" s="88">
        <v>108</v>
      </c>
      <c r="B395" s="89" t="s">
        <v>170</v>
      </c>
      <c r="C395" s="88" t="s">
        <v>0</v>
      </c>
      <c r="D395" s="89"/>
      <c r="E395" s="91">
        <v>41713</v>
      </c>
      <c r="F395" s="88">
        <v>4</v>
      </c>
      <c r="G395" s="89" t="s">
        <v>230</v>
      </c>
      <c r="H395" s="89" t="s">
        <v>239</v>
      </c>
      <c r="I395" s="89" t="s">
        <v>113</v>
      </c>
      <c r="J395" s="89" t="s">
        <v>177</v>
      </c>
      <c r="K395" s="89" t="str">
        <f>"00046912"</f>
        <v>00046912</v>
      </c>
    </row>
    <row r="396" spans="1:11" ht="57" x14ac:dyDescent="0.25">
      <c r="A396" s="88">
        <v>108</v>
      </c>
      <c r="B396" s="89" t="s">
        <v>170</v>
      </c>
      <c r="C396" s="88" t="s">
        <v>0</v>
      </c>
      <c r="D396" s="89"/>
      <c r="E396" s="91">
        <v>55872</v>
      </c>
      <c r="F396" s="88">
        <v>4</v>
      </c>
      <c r="G396" s="89" t="s">
        <v>231</v>
      </c>
      <c r="H396" s="89" t="s">
        <v>233</v>
      </c>
      <c r="I396" s="89" t="s">
        <v>113</v>
      </c>
      <c r="J396" s="89" t="s">
        <v>177</v>
      </c>
      <c r="K396" s="89" t="str">
        <f>"00046902"</f>
        <v>00046902</v>
      </c>
    </row>
    <row r="397" spans="1:11" ht="57" x14ac:dyDescent="0.25">
      <c r="A397" s="88">
        <v>108</v>
      </c>
      <c r="B397" s="89" t="s">
        <v>170</v>
      </c>
      <c r="C397" s="88" t="s">
        <v>0</v>
      </c>
      <c r="D397" s="89"/>
      <c r="E397" s="91">
        <v>36345</v>
      </c>
      <c r="F397" s="88">
        <v>4</v>
      </c>
      <c r="G397" s="89" t="s">
        <v>227</v>
      </c>
      <c r="H397" s="89" t="s">
        <v>228</v>
      </c>
      <c r="I397" s="89" t="s">
        <v>152</v>
      </c>
      <c r="J397" s="89" t="s">
        <v>229</v>
      </c>
      <c r="K397" s="89" t="str">
        <f>"00048767"</f>
        <v>00048767</v>
      </c>
    </row>
    <row r="398" spans="1:11" ht="128.25" x14ac:dyDescent="0.25">
      <c r="A398" s="88">
        <v>108</v>
      </c>
      <c r="B398" s="89" t="s">
        <v>170</v>
      </c>
      <c r="C398" s="88" t="s">
        <v>0</v>
      </c>
      <c r="D398" s="89"/>
      <c r="E398" s="91">
        <v>60504</v>
      </c>
      <c r="F398" s="88">
        <v>4</v>
      </c>
      <c r="G398" s="89" t="s">
        <v>230</v>
      </c>
      <c r="H398" s="89" t="s">
        <v>233</v>
      </c>
      <c r="I398" s="89" t="s">
        <v>113</v>
      </c>
      <c r="J398" s="89" t="s">
        <v>177</v>
      </c>
      <c r="K398" s="89" t="str">
        <f>"00046914"</f>
        <v>00046914</v>
      </c>
    </row>
    <row r="399" spans="1:11" ht="128.25" x14ac:dyDescent="0.25">
      <c r="A399" s="88">
        <v>108</v>
      </c>
      <c r="B399" s="89" t="s">
        <v>170</v>
      </c>
      <c r="C399" s="88" t="s">
        <v>0</v>
      </c>
      <c r="D399" s="89"/>
      <c r="E399" s="91">
        <v>40704</v>
      </c>
      <c r="F399" s="88">
        <v>4</v>
      </c>
      <c r="G399" s="89" t="s">
        <v>230</v>
      </c>
      <c r="H399" s="89" t="s">
        <v>239</v>
      </c>
      <c r="I399" s="89" t="s">
        <v>113</v>
      </c>
      <c r="J399" s="89" t="s">
        <v>177</v>
      </c>
      <c r="K399" s="89" t="str">
        <f>"00046910"</f>
        <v>00046910</v>
      </c>
    </row>
    <row r="400" spans="1:11" ht="128.25" x14ac:dyDescent="0.25">
      <c r="A400" s="88">
        <v>108</v>
      </c>
      <c r="B400" s="89" t="s">
        <v>170</v>
      </c>
      <c r="C400" s="88" t="s">
        <v>0</v>
      </c>
      <c r="D400" s="89"/>
      <c r="E400" s="91">
        <v>39920</v>
      </c>
      <c r="F400" s="88">
        <v>4</v>
      </c>
      <c r="G400" s="89" t="s">
        <v>230</v>
      </c>
      <c r="H400" s="89" t="s">
        <v>70</v>
      </c>
      <c r="I400" s="89" t="s">
        <v>113</v>
      </c>
      <c r="J400" s="89" t="s">
        <v>177</v>
      </c>
      <c r="K400" s="89" t="str">
        <f>"00046913"</f>
        <v>00046913</v>
      </c>
    </row>
    <row r="401" spans="1:11" ht="128.25" x14ac:dyDescent="0.25">
      <c r="A401" s="88">
        <v>108</v>
      </c>
      <c r="B401" s="89" t="s">
        <v>170</v>
      </c>
      <c r="C401" s="88" t="s">
        <v>0</v>
      </c>
      <c r="D401" s="89"/>
      <c r="E401" s="91">
        <v>54015</v>
      </c>
      <c r="F401" s="88">
        <v>4</v>
      </c>
      <c r="G401" s="89" t="s">
        <v>230</v>
      </c>
      <c r="H401" s="89" t="s">
        <v>244</v>
      </c>
      <c r="I401" s="89" t="s">
        <v>113</v>
      </c>
      <c r="J401" s="89" t="s">
        <v>177</v>
      </c>
      <c r="K401" s="89" t="str">
        <f>"00046870"</f>
        <v>00046870</v>
      </c>
    </row>
    <row r="402" spans="1:11" ht="156.75" x14ac:dyDescent="0.25">
      <c r="A402" s="88">
        <v>108</v>
      </c>
      <c r="B402" s="89" t="s">
        <v>170</v>
      </c>
      <c r="C402" s="88" t="s">
        <v>0</v>
      </c>
      <c r="D402" s="89"/>
      <c r="E402" s="91">
        <v>41795</v>
      </c>
      <c r="F402" s="88">
        <v>4</v>
      </c>
      <c r="G402" s="89" t="s">
        <v>248</v>
      </c>
      <c r="H402" s="89" t="s">
        <v>233</v>
      </c>
      <c r="I402" s="89" t="s">
        <v>113</v>
      </c>
      <c r="J402" s="89" t="s">
        <v>177</v>
      </c>
      <c r="K402" s="89" t="str">
        <f>"00046911"</f>
        <v>00046911</v>
      </c>
    </row>
    <row r="403" spans="1:11" ht="128.25" x14ac:dyDescent="0.25">
      <c r="A403" s="88">
        <v>108</v>
      </c>
      <c r="B403" s="89" t="s">
        <v>170</v>
      </c>
      <c r="C403" s="88" t="s">
        <v>0</v>
      </c>
      <c r="D403" s="89"/>
      <c r="E403" s="91">
        <v>31702</v>
      </c>
      <c r="F403" s="88">
        <v>4</v>
      </c>
      <c r="G403" s="89" t="s">
        <v>230</v>
      </c>
      <c r="H403" s="89" t="s">
        <v>247</v>
      </c>
      <c r="I403" s="89" t="s">
        <v>113</v>
      </c>
      <c r="J403" s="89" t="s">
        <v>177</v>
      </c>
      <c r="K403" s="89" t="str">
        <f>"00046869"</f>
        <v>00046869</v>
      </c>
    </row>
    <row r="404" spans="1:11" ht="42.75" x14ac:dyDescent="0.25">
      <c r="A404" s="88">
        <v>108</v>
      </c>
      <c r="B404" s="89" t="s">
        <v>983</v>
      </c>
      <c r="C404" s="88" t="s">
        <v>0</v>
      </c>
      <c r="D404" s="89"/>
      <c r="E404" s="91">
        <v>62937</v>
      </c>
      <c r="F404" s="88">
        <v>4</v>
      </c>
      <c r="G404" s="89" t="s">
        <v>1797</v>
      </c>
      <c r="H404" s="89" t="s">
        <v>1006</v>
      </c>
      <c r="I404" s="89" t="s">
        <v>66</v>
      </c>
      <c r="J404" s="89" t="s">
        <v>1798</v>
      </c>
      <c r="K404" s="89" t="str">
        <f>"00048056"</f>
        <v>00048056</v>
      </c>
    </row>
    <row r="405" spans="1:11" ht="142.5" x14ac:dyDescent="0.25">
      <c r="A405" s="88">
        <v>108</v>
      </c>
      <c r="B405" s="89" t="s">
        <v>214</v>
      </c>
      <c r="C405" s="88" t="s">
        <v>0</v>
      </c>
      <c r="D405" s="89"/>
      <c r="E405" s="91">
        <v>61159</v>
      </c>
      <c r="F405" s="88">
        <v>4</v>
      </c>
      <c r="G405" s="89" t="s">
        <v>1794</v>
      </c>
      <c r="H405" s="89" t="s">
        <v>1795</v>
      </c>
      <c r="I405" s="89" t="s">
        <v>66</v>
      </c>
      <c r="J405" s="89" t="s">
        <v>1796</v>
      </c>
      <c r="K405" s="89" t="str">
        <f>"00048421"</f>
        <v>00048421</v>
      </c>
    </row>
    <row r="406" spans="1:11" ht="57" x14ac:dyDescent="0.25">
      <c r="A406" s="88">
        <v>108</v>
      </c>
      <c r="B406" s="89" t="s">
        <v>1000</v>
      </c>
      <c r="C406" s="88" t="s">
        <v>0</v>
      </c>
      <c r="D406" s="89"/>
      <c r="E406" s="91">
        <v>40136</v>
      </c>
      <c r="F406" s="88">
        <v>4</v>
      </c>
      <c r="G406" s="89" t="s">
        <v>1745</v>
      </c>
      <c r="H406" s="89" t="s">
        <v>228</v>
      </c>
      <c r="I406" s="89" t="s">
        <v>152</v>
      </c>
      <c r="J406" s="89" t="s">
        <v>1746</v>
      </c>
      <c r="K406" s="89" t="str">
        <f>"00048602"</f>
        <v>00048602</v>
      </c>
    </row>
    <row r="407" spans="1:11" ht="42.75" x14ac:dyDescent="0.25">
      <c r="A407" s="88">
        <v>108</v>
      </c>
      <c r="B407" s="89" t="s">
        <v>1742</v>
      </c>
      <c r="C407" s="88" t="s">
        <v>0</v>
      </c>
      <c r="D407" s="89"/>
      <c r="E407" s="91">
        <v>44625</v>
      </c>
      <c r="F407" s="88">
        <v>4</v>
      </c>
      <c r="G407" s="89" t="s">
        <v>1743</v>
      </c>
      <c r="H407" s="89" t="s">
        <v>228</v>
      </c>
      <c r="I407" s="89" t="s">
        <v>152</v>
      </c>
      <c r="J407" s="89" t="s">
        <v>1744</v>
      </c>
      <c r="K407" s="89" t="str">
        <f>"00048538"</f>
        <v>00048538</v>
      </c>
    </row>
    <row r="408" spans="1:11" ht="57" x14ac:dyDescent="0.25">
      <c r="A408" s="88">
        <v>108</v>
      </c>
      <c r="B408" s="89" t="s">
        <v>1747</v>
      </c>
      <c r="C408" s="88" t="s">
        <v>0</v>
      </c>
      <c r="D408" s="89"/>
      <c r="E408" s="91">
        <v>34000</v>
      </c>
      <c r="F408" s="88">
        <v>4</v>
      </c>
      <c r="G408" s="89" t="s">
        <v>1748</v>
      </c>
      <c r="H408" s="89" t="s">
        <v>1749</v>
      </c>
      <c r="I408" s="89" t="s">
        <v>32</v>
      </c>
      <c r="J408" s="89" t="s">
        <v>36</v>
      </c>
      <c r="K408" s="89" t="str">
        <f>"00045381"</f>
        <v>00045381</v>
      </c>
    </row>
    <row r="409" spans="1:11" ht="57" x14ac:dyDescent="0.25">
      <c r="A409" s="88">
        <v>108</v>
      </c>
      <c r="B409" s="89" t="s">
        <v>1758</v>
      </c>
      <c r="C409" s="88" t="s">
        <v>0</v>
      </c>
      <c r="D409" s="89"/>
      <c r="E409" s="91">
        <v>27865</v>
      </c>
      <c r="F409" s="88">
        <v>4</v>
      </c>
      <c r="G409" s="89" t="s">
        <v>179</v>
      </c>
      <c r="H409" s="89" t="s">
        <v>194</v>
      </c>
      <c r="I409" s="89" t="s">
        <v>32</v>
      </c>
      <c r="J409" s="89" t="s">
        <v>36</v>
      </c>
      <c r="K409" s="89" t="str">
        <f>"00045977"</f>
        <v>00045977</v>
      </c>
    </row>
    <row r="410" spans="1:11" ht="57" x14ac:dyDescent="0.25">
      <c r="A410" s="88">
        <v>108</v>
      </c>
      <c r="B410" s="89" t="s">
        <v>222</v>
      </c>
      <c r="C410" s="88" t="s">
        <v>0</v>
      </c>
      <c r="D410" s="89"/>
      <c r="E410" s="91">
        <v>80000</v>
      </c>
      <c r="F410" s="88">
        <v>4</v>
      </c>
      <c r="G410" s="89" t="s">
        <v>223</v>
      </c>
      <c r="H410" s="89" t="s">
        <v>224</v>
      </c>
      <c r="I410" s="89" t="s">
        <v>225</v>
      </c>
      <c r="J410" s="89" t="s">
        <v>226</v>
      </c>
      <c r="K410" s="89" t="str">
        <f>"00048908"</f>
        <v>00048908</v>
      </c>
    </row>
    <row r="411" spans="1:11" ht="57" x14ac:dyDescent="0.25">
      <c r="A411" s="88">
        <v>108</v>
      </c>
      <c r="B411" s="89" t="s">
        <v>1750</v>
      </c>
      <c r="C411" s="88" t="s">
        <v>0</v>
      </c>
      <c r="D411" s="89"/>
      <c r="E411" s="91">
        <v>8779</v>
      </c>
      <c r="F411" s="88">
        <v>4</v>
      </c>
      <c r="G411" s="89" t="s">
        <v>1751</v>
      </c>
      <c r="H411" s="89" t="s">
        <v>1752</v>
      </c>
      <c r="I411" s="89" t="s">
        <v>32</v>
      </c>
      <c r="J411" s="89" t="s">
        <v>36</v>
      </c>
      <c r="K411" s="89" t="str">
        <f>"00046137"</f>
        <v>00046137</v>
      </c>
    </row>
    <row r="412" spans="1:11" ht="57" x14ac:dyDescent="0.25">
      <c r="A412" s="88">
        <v>108</v>
      </c>
      <c r="B412" s="89" t="s">
        <v>170</v>
      </c>
      <c r="C412" s="88" t="s">
        <v>0</v>
      </c>
      <c r="D412" s="89"/>
      <c r="E412" s="91">
        <v>36572</v>
      </c>
      <c r="F412" s="88">
        <v>4</v>
      </c>
      <c r="G412" s="89" t="s">
        <v>1740</v>
      </c>
      <c r="H412" s="89" t="s">
        <v>228</v>
      </c>
      <c r="I412" s="89" t="s">
        <v>152</v>
      </c>
      <c r="J412" s="89" t="s">
        <v>1741</v>
      </c>
      <c r="K412" s="89" t="str">
        <f>"00048438"</f>
        <v>00048438</v>
      </c>
    </row>
    <row r="413" spans="1:11" ht="57" x14ac:dyDescent="0.25">
      <c r="A413" s="88">
        <v>108</v>
      </c>
      <c r="B413" s="89" t="s">
        <v>195</v>
      </c>
      <c r="C413" s="88" t="s">
        <v>0</v>
      </c>
      <c r="D413" s="89"/>
      <c r="E413" s="91">
        <v>102455</v>
      </c>
      <c r="F413" s="88">
        <v>4</v>
      </c>
      <c r="G413" s="89" t="s">
        <v>198</v>
      </c>
      <c r="H413" s="89" t="s">
        <v>252</v>
      </c>
      <c r="I413" s="89" t="s">
        <v>32</v>
      </c>
      <c r="J413" s="89" t="s">
        <v>36</v>
      </c>
      <c r="K413" s="89" t="str">
        <f>"00045822"</f>
        <v>00045822</v>
      </c>
    </row>
    <row r="414" spans="1:11" ht="114" x14ac:dyDescent="0.25">
      <c r="A414" s="88">
        <v>108</v>
      </c>
      <c r="B414" s="89" t="s">
        <v>1753</v>
      </c>
      <c r="C414" s="88" t="s">
        <v>0</v>
      </c>
      <c r="D414" s="89"/>
      <c r="E414" s="91">
        <v>95929</v>
      </c>
      <c r="F414" s="88">
        <v>4</v>
      </c>
      <c r="G414" s="89" t="s">
        <v>1754</v>
      </c>
      <c r="H414" s="89" t="s">
        <v>1755</v>
      </c>
      <c r="I414" s="89" t="s">
        <v>32</v>
      </c>
      <c r="J414" s="89" t="s">
        <v>36</v>
      </c>
      <c r="K414" s="89" t="str">
        <f>"00046129"</f>
        <v>00046129</v>
      </c>
    </row>
    <row r="415" spans="1:11" ht="57" x14ac:dyDescent="0.25">
      <c r="A415" s="88">
        <v>108</v>
      </c>
      <c r="B415" s="89" t="s">
        <v>170</v>
      </c>
      <c r="C415" s="88" t="s">
        <v>0</v>
      </c>
      <c r="D415" s="89"/>
      <c r="E415" s="91">
        <v>46315</v>
      </c>
      <c r="F415" s="88">
        <v>4</v>
      </c>
      <c r="G415" s="89" t="s">
        <v>1756</v>
      </c>
      <c r="H415" s="89" t="s">
        <v>1757</v>
      </c>
      <c r="I415" s="89" t="s">
        <v>201</v>
      </c>
      <c r="J415" s="89" t="s">
        <v>1100</v>
      </c>
      <c r="K415" s="89" t="str">
        <f>"00047187"</f>
        <v>00047187</v>
      </c>
    </row>
    <row r="416" spans="1:11" ht="71.25" x14ac:dyDescent="0.25">
      <c r="A416" s="88">
        <v>108</v>
      </c>
      <c r="B416" s="89" t="s">
        <v>170</v>
      </c>
      <c r="C416" s="88" t="s">
        <v>0</v>
      </c>
      <c r="D416" s="89"/>
      <c r="E416" s="91">
        <v>75766</v>
      </c>
      <c r="F416" s="88">
        <v>4</v>
      </c>
      <c r="G416" s="89" t="s">
        <v>171</v>
      </c>
      <c r="H416" s="89" t="s">
        <v>172</v>
      </c>
      <c r="I416" s="89" t="s">
        <v>173</v>
      </c>
      <c r="J416" s="89" t="s">
        <v>174</v>
      </c>
      <c r="K416" s="89" t="str">
        <f>"00046487"</f>
        <v>00046487</v>
      </c>
    </row>
    <row r="417" spans="1:11" ht="57" x14ac:dyDescent="0.25">
      <c r="A417" s="88">
        <v>108</v>
      </c>
      <c r="B417" s="89" t="s">
        <v>249</v>
      </c>
      <c r="C417" s="88" t="s">
        <v>0</v>
      </c>
      <c r="D417" s="89"/>
      <c r="E417" s="91">
        <v>92783</v>
      </c>
      <c r="F417" s="88">
        <v>4</v>
      </c>
      <c r="G417" s="89" t="s">
        <v>1759</v>
      </c>
      <c r="H417" s="89" t="s">
        <v>213</v>
      </c>
      <c r="I417" s="89" t="s">
        <v>209</v>
      </c>
      <c r="J417" s="89" t="s">
        <v>210</v>
      </c>
      <c r="K417" s="89" t="str">
        <f>"00048016"</f>
        <v>00048016</v>
      </c>
    </row>
    <row r="418" spans="1:11" ht="57" x14ac:dyDescent="0.25">
      <c r="A418" s="88">
        <v>108</v>
      </c>
      <c r="B418" s="89" t="s">
        <v>170</v>
      </c>
      <c r="C418" s="88" t="s">
        <v>0</v>
      </c>
      <c r="D418" s="89"/>
      <c r="E418" s="91">
        <v>36238</v>
      </c>
      <c r="F418" s="88">
        <v>4</v>
      </c>
      <c r="G418" s="89" t="s">
        <v>1740</v>
      </c>
      <c r="H418" s="89" t="s">
        <v>228</v>
      </c>
      <c r="I418" s="89" t="s">
        <v>152</v>
      </c>
      <c r="J418" s="89" t="s">
        <v>1741</v>
      </c>
      <c r="K418" s="89" t="str">
        <f>"00048573"</f>
        <v>00048573</v>
      </c>
    </row>
    <row r="419" spans="1:11" ht="71.25" x14ac:dyDescent="0.25">
      <c r="A419" s="88">
        <v>108</v>
      </c>
      <c r="B419" s="89" t="s">
        <v>259</v>
      </c>
      <c r="C419" s="88" t="s">
        <v>0</v>
      </c>
      <c r="D419" s="89"/>
      <c r="E419" s="91">
        <v>55000</v>
      </c>
      <c r="F419" s="88">
        <v>4</v>
      </c>
      <c r="G419" s="89" t="s">
        <v>260</v>
      </c>
      <c r="H419" s="89" t="s">
        <v>261</v>
      </c>
      <c r="I419" s="89" t="s">
        <v>32</v>
      </c>
      <c r="J419" s="89" t="s">
        <v>262</v>
      </c>
      <c r="K419" s="89" t="str">
        <f>"00048332"</f>
        <v>00048332</v>
      </c>
    </row>
    <row r="420" spans="1:11" ht="71.25" x14ac:dyDescent="0.25">
      <c r="A420" s="88">
        <v>108</v>
      </c>
      <c r="B420" s="89" t="s">
        <v>4337</v>
      </c>
      <c r="C420" s="88" t="s">
        <v>0</v>
      </c>
      <c r="D420" s="89"/>
      <c r="E420" s="91">
        <v>114464</v>
      </c>
      <c r="F420" s="88">
        <v>4</v>
      </c>
      <c r="G420" s="89" t="s">
        <v>4337</v>
      </c>
      <c r="H420" s="89" t="s">
        <v>160</v>
      </c>
      <c r="I420" s="89" t="s">
        <v>32</v>
      </c>
      <c r="J420" s="89" t="s">
        <v>4338</v>
      </c>
      <c r="K420" s="89" t="str">
        <f>"00047121"</f>
        <v>00047121</v>
      </c>
    </row>
    <row r="421" spans="1:11" ht="57" x14ac:dyDescent="0.25">
      <c r="A421" s="88">
        <v>108</v>
      </c>
      <c r="B421" s="89" t="s">
        <v>4312</v>
      </c>
      <c r="C421" s="88" t="s">
        <v>0</v>
      </c>
      <c r="D421" s="89"/>
      <c r="E421" s="91">
        <v>11221</v>
      </c>
      <c r="F421" s="88">
        <v>4</v>
      </c>
      <c r="G421" s="89" t="s">
        <v>1751</v>
      </c>
      <c r="H421" s="89" t="s">
        <v>1752</v>
      </c>
      <c r="I421" s="89" t="s">
        <v>32</v>
      </c>
      <c r="J421" s="89" t="s">
        <v>36</v>
      </c>
      <c r="K421" s="89" t="str">
        <f>"00046137"</f>
        <v>00046137</v>
      </c>
    </row>
    <row r="422" spans="1:11" ht="57" x14ac:dyDescent="0.25">
      <c r="A422" s="88">
        <v>108</v>
      </c>
      <c r="B422" s="89" t="s">
        <v>4315</v>
      </c>
      <c r="C422" s="88" t="s">
        <v>0</v>
      </c>
      <c r="D422" s="89"/>
      <c r="E422" s="91">
        <v>23866</v>
      </c>
      <c r="F422" s="88">
        <v>4</v>
      </c>
      <c r="G422" s="89" t="s">
        <v>1751</v>
      </c>
      <c r="H422" s="89" t="s">
        <v>194</v>
      </c>
      <c r="I422" s="89" t="s">
        <v>32</v>
      </c>
      <c r="J422" s="89" t="s">
        <v>36</v>
      </c>
      <c r="K422" s="89" t="str">
        <f>"00045420"</f>
        <v>00045420</v>
      </c>
    </row>
    <row r="423" spans="1:11" ht="42.75" x14ac:dyDescent="0.25">
      <c r="A423" s="88">
        <v>108</v>
      </c>
      <c r="B423" s="89" t="s">
        <v>4442</v>
      </c>
      <c r="C423" s="88" t="s">
        <v>0</v>
      </c>
      <c r="D423" s="89"/>
      <c r="E423" s="91">
        <v>114211</v>
      </c>
      <c r="F423" s="88">
        <v>4</v>
      </c>
      <c r="G423" s="89" t="s">
        <v>1768</v>
      </c>
      <c r="H423" s="89" t="s">
        <v>1788</v>
      </c>
      <c r="I423" s="89" t="s">
        <v>763</v>
      </c>
      <c r="J423" s="89" t="s">
        <v>1770</v>
      </c>
      <c r="K423" s="89" t="str">
        <f>"00049489"</f>
        <v>00049489</v>
      </c>
    </row>
    <row r="424" spans="1:11" ht="42.75" x14ac:dyDescent="0.25">
      <c r="A424" s="88">
        <v>108</v>
      </c>
      <c r="B424" s="89" t="s">
        <v>4494</v>
      </c>
      <c r="C424" s="88" t="s">
        <v>0</v>
      </c>
      <c r="D424" s="89"/>
      <c r="E424" s="91">
        <v>68509</v>
      </c>
      <c r="F424" s="88">
        <v>4</v>
      </c>
      <c r="G424" s="89" t="s">
        <v>4494</v>
      </c>
      <c r="H424" s="89" t="s">
        <v>1782</v>
      </c>
      <c r="I424" s="89" t="s">
        <v>80</v>
      </c>
      <c r="J424" s="89" t="s">
        <v>80</v>
      </c>
      <c r="K424" s="89" t="str">
        <f>"00050013"</f>
        <v>00050013</v>
      </c>
    </row>
    <row r="425" spans="1:11" ht="99.75" x14ac:dyDescent="0.25">
      <c r="A425" s="88">
        <v>108</v>
      </c>
      <c r="B425" s="89" t="s">
        <v>4298</v>
      </c>
      <c r="C425" s="88" t="s">
        <v>0</v>
      </c>
      <c r="D425" s="89"/>
      <c r="E425" s="91">
        <v>106210</v>
      </c>
      <c r="F425" s="88">
        <v>4</v>
      </c>
      <c r="G425" s="89" t="s">
        <v>4298</v>
      </c>
      <c r="H425" s="89" t="s">
        <v>4299</v>
      </c>
      <c r="I425" s="89" t="s">
        <v>32</v>
      </c>
      <c r="J425" s="89" t="s">
        <v>4300</v>
      </c>
      <c r="K425" s="89" t="str">
        <f>"00045861"</f>
        <v>00045861</v>
      </c>
    </row>
    <row r="426" spans="1:11" ht="42.75" x14ac:dyDescent="0.25">
      <c r="A426" s="88">
        <v>108</v>
      </c>
      <c r="B426" s="89" t="s">
        <v>4442</v>
      </c>
      <c r="C426" s="88" t="s">
        <v>0</v>
      </c>
      <c r="D426" s="89"/>
      <c r="E426" s="91">
        <v>60000</v>
      </c>
      <c r="F426" s="88">
        <v>4</v>
      </c>
      <c r="G426" s="89" t="s">
        <v>1768</v>
      </c>
      <c r="H426" s="89" t="s">
        <v>1788</v>
      </c>
      <c r="I426" s="89" t="s">
        <v>763</v>
      </c>
      <c r="J426" s="89" t="s">
        <v>1770</v>
      </c>
      <c r="K426" s="89" t="str">
        <f>"00049668"</f>
        <v>00049668</v>
      </c>
    </row>
    <row r="427" spans="1:11" ht="42.75" x14ac:dyDescent="0.25">
      <c r="A427" s="88">
        <v>108</v>
      </c>
      <c r="B427" s="89" t="s">
        <v>4229</v>
      </c>
      <c r="C427" s="88" t="s">
        <v>0</v>
      </c>
      <c r="D427" s="89"/>
      <c r="E427" s="91">
        <v>4729</v>
      </c>
      <c r="F427" s="88">
        <v>4</v>
      </c>
      <c r="G427" s="89" t="s">
        <v>4533</v>
      </c>
      <c r="H427" s="89" t="s">
        <v>4534</v>
      </c>
      <c r="I427" s="89" t="s">
        <v>185</v>
      </c>
      <c r="J427" s="89" t="s">
        <v>4535</v>
      </c>
      <c r="K427" s="89" t="str">
        <f>"00052169"</f>
        <v>00052169</v>
      </c>
    </row>
    <row r="428" spans="1:11" ht="42.75" x14ac:dyDescent="0.25">
      <c r="A428" s="88">
        <v>108</v>
      </c>
      <c r="B428" s="89" t="s">
        <v>4503</v>
      </c>
      <c r="C428" s="88" t="s">
        <v>0</v>
      </c>
      <c r="D428" s="89"/>
      <c r="E428" s="91">
        <v>17308</v>
      </c>
      <c r="F428" s="88">
        <v>4</v>
      </c>
      <c r="G428" s="89" t="s">
        <v>4503</v>
      </c>
      <c r="H428" s="89" t="s">
        <v>4485</v>
      </c>
      <c r="I428" s="89" t="s">
        <v>80</v>
      </c>
      <c r="J428" s="89" t="s">
        <v>80</v>
      </c>
      <c r="K428" s="89" t="str">
        <f>"00050421"</f>
        <v>00050421</v>
      </c>
    </row>
    <row r="429" spans="1:11" ht="42.75" x14ac:dyDescent="0.25">
      <c r="A429" s="88">
        <v>108</v>
      </c>
      <c r="B429" s="89" t="s">
        <v>4426</v>
      </c>
      <c r="C429" s="88" t="s">
        <v>0</v>
      </c>
      <c r="D429" s="89"/>
      <c r="E429" s="91">
        <v>53290</v>
      </c>
      <c r="F429" s="88">
        <v>4</v>
      </c>
      <c r="G429" s="89" t="s">
        <v>1768</v>
      </c>
      <c r="H429" s="89" t="s">
        <v>1769</v>
      </c>
      <c r="I429" s="89" t="s">
        <v>763</v>
      </c>
      <c r="J429" s="89" t="s">
        <v>1770</v>
      </c>
      <c r="K429" s="89" t="str">
        <f>"00049290"</f>
        <v>00049290</v>
      </c>
    </row>
    <row r="430" spans="1:11" ht="85.5" x14ac:dyDescent="0.25">
      <c r="A430" s="88">
        <v>108</v>
      </c>
      <c r="B430" s="89" t="s">
        <v>4570</v>
      </c>
      <c r="C430" s="88" t="s">
        <v>0</v>
      </c>
      <c r="D430" s="89"/>
      <c r="E430" s="91">
        <v>92285</v>
      </c>
      <c r="F430" s="88">
        <v>4</v>
      </c>
      <c r="G430" s="89" t="s">
        <v>4570</v>
      </c>
      <c r="H430" s="89" t="s">
        <v>2563</v>
      </c>
      <c r="I430" s="89" t="s">
        <v>763</v>
      </c>
      <c r="J430" s="89" t="s">
        <v>4571</v>
      </c>
      <c r="K430" s="89" t="str">
        <f>"00049526"</f>
        <v>00049526</v>
      </c>
    </row>
    <row r="431" spans="1:11" ht="42.75" x14ac:dyDescent="0.25">
      <c r="A431" s="88">
        <v>108</v>
      </c>
      <c r="B431" s="89" t="s">
        <v>4569</v>
      </c>
      <c r="C431" s="88" t="s">
        <v>0</v>
      </c>
      <c r="D431" s="89"/>
      <c r="E431" s="91">
        <v>21093</v>
      </c>
      <c r="F431" s="88">
        <v>4</v>
      </c>
      <c r="G431" s="89" t="s">
        <v>1771</v>
      </c>
      <c r="H431" s="89" t="s">
        <v>1772</v>
      </c>
      <c r="I431" s="89" t="s">
        <v>763</v>
      </c>
      <c r="J431" s="89" t="s">
        <v>1770</v>
      </c>
      <c r="K431" s="89" t="str">
        <f>"00048953"</f>
        <v>00048953</v>
      </c>
    </row>
    <row r="432" spans="1:11" ht="42.75" x14ac:dyDescent="0.25">
      <c r="A432" s="88">
        <v>108</v>
      </c>
      <c r="B432" s="89" t="s">
        <v>6495</v>
      </c>
      <c r="C432" s="88" t="s">
        <v>5373</v>
      </c>
      <c r="D432" s="89"/>
      <c r="E432" s="91">
        <v>7274</v>
      </c>
      <c r="F432" s="88"/>
      <c r="G432" s="89" t="s">
        <v>6504</v>
      </c>
      <c r="H432" s="89" t="s">
        <v>6498</v>
      </c>
      <c r="I432" s="89" t="s">
        <v>6500</v>
      </c>
      <c r="J432" s="89" t="s">
        <v>6502</v>
      </c>
      <c r="K432" s="89" t="s">
        <v>6506</v>
      </c>
    </row>
    <row r="433" spans="1:11" ht="42.75" x14ac:dyDescent="0.25">
      <c r="A433" s="88">
        <v>108</v>
      </c>
      <c r="B433" s="89" t="s">
        <v>6496</v>
      </c>
      <c r="C433" s="88" t="s">
        <v>6497</v>
      </c>
      <c r="D433" s="89"/>
      <c r="E433" s="91">
        <v>2666</v>
      </c>
      <c r="F433" s="88"/>
      <c r="G433" s="89" t="s">
        <v>6505</v>
      </c>
      <c r="H433" s="89" t="s">
        <v>6499</v>
      </c>
      <c r="I433" s="89" t="s">
        <v>6501</v>
      </c>
      <c r="J433" s="89" t="s">
        <v>6503</v>
      </c>
      <c r="K433" s="89" t="s">
        <v>6507</v>
      </c>
    </row>
    <row r="434" spans="1:11" ht="28.5" x14ac:dyDescent="0.25">
      <c r="A434" s="88">
        <v>108</v>
      </c>
      <c r="B434" s="89" t="s">
        <v>12</v>
      </c>
      <c r="C434" s="88" t="s">
        <v>0</v>
      </c>
      <c r="D434" s="91">
        <v>75400000</v>
      </c>
      <c r="E434" s="32"/>
      <c r="F434" s="88">
        <v>4</v>
      </c>
      <c r="G434" s="89" t="s">
        <v>52</v>
      </c>
      <c r="H434" s="89"/>
      <c r="I434" s="89" t="s">
        <v>53</v>
      </c>
      <c r="J434" s="89"/>
      <c r="K434" s="89" t="str">
        <f>"　"</f>
        <v>　</v>
      </c>
    </row>
    <row r="435" spans="1:11" ht="45" x14ac:dyDescent="0.25">
      <c r="A435" s="88">
        <v>108</v>
      </c>
      <c r="B435" s="19" t="s">
        <v>291</v>
      </c>
      <c r="C435" s="88" t="s">
        <v>0</v>
      </c>
      <c r="D435" s="89"/>
      <c r="E435" s="91">
        <v>80000</v>
      </c>
      <c r="F435" s="88">
        <v>4</v>
      </c>
      <c r="G435" s="19" t="s">
        <v>292</v>
      </c>
      <c r="H435" s="89" t="s">
        <v>293</v>
      </c>
      <c r="I435" s="89" t="s">
        <v>32</v>
      </c>
      <c r="J435" s="19" t="s">
        <v>294</v>
      </c>
      <c r="K435" s="89" t="str">
        <f>"00048433"</f>
        <v>00048433</v>
      </c>
    </row>
    <row r="436" spans="1:11" ht="71.25" x14ac:dyDescent="0.25">
      <c r="A436" s="88">
        <v>108</v>
      </c>
      <c r="B436" s="89" t="s">
        <v>267</v>
      </c>
      <c r="C436" s="88" t="s">
        <v>0</v>
      </c>
      <c r="D436" s="89"/>
      <c r="E436" s="91">
        <v>126184</v>
      </c>
      <c r="F436" s="88">
        <v>4</v>
      </c>
      <c r="G436" s="89" t="s">
        <v>268</v>
      </c>
      <c r="H436" s="89" t="s">
        <v>269</v>
      </c>
      <c r="I436" s="89" t="s">
        <v>185</v>
      </c>
      <c r="J436" s="89" t="s">
        <v>270</v>
      </c>
      <c r="K436" s="89" t="s">
        <v>6327</v>
      </c>
    </row>
    <row r="437" spans="1:11" ht="42.75" x14ac:dyDescent="0.25">
      <c r="A437" s="88">
        <v>108</v>
      </c>
      <c r="B437" s="89" t="s">
        <v>263</v>
      </c>
      <c r="C437" s="88" t="s">
        <v>0</v>
      </c>
      <c r="D437" s="89"/>
      <c r="E437" s="91">
        <v>98813</v>
      </c>
      <c r="F437" s="88">
        <v>4</v>
      </c>
      <c r="G437" s="89" t="s">
        <v>264</v>
      </c>
      <c r="H437" s="89" t="s">
        <v>265</v>
      </c>
      <c r="I437" s="89" t="s">
        <v>17</v>
      </c>
      <c r="J437" s="89" t="s">
        <v>266</v>
      </c>
      <c r="K437" s="89" t="s">
        <v>6328</v>
      </c>
    </row>
    <row r="438" spans="1:11" ht="71.25" x14ac:dyDescent="0.25">
      <c r="A438" s="88">
        <v>108</v>
      </c>
      <c r="B438" s="89" t="s">
        <v>271</v>
      </c>
      <c r="C438" s="88" t="s">
        <v>0</v>
      </c>
      <c r="D438" s="89"/>
      <c r="E438" s="91">
        <v>33607</v>
      </c>
      <c r="F438" s="88">
        <v>4</v>
      </c>
      <c r="G438" s="89" t="s">
        <v>272</v>
      </c>
      <c r="H438" s="89" t="s">
        <v>273</v>
      </c>
      <c r="I438" s="89" t="s">
        <v>185</v>
      </c>
      <c r="J438" s="89" t="s">
        <v>270</v>
      </c>
      <c r="K438" s="89" t="s">
        <v>6329</v>
      </c>
    </row>
    <row r="439" spans="1:11" ht="57" x14ac:dyDescent="0.25">
      <c r="A439" s="88">
        <v>108</v>
      </c>
      <c r="B439" s="89" t="s">
        <v>274</v>
      </c>
      <c r="C439" s="88" t="s">
        <v>0</v>
      </c>
      <c r="D439" s="89"/>
      <c r="E439" s="91">
        <v>100000</v>
      </c>
      <c r="F439" s="88">
        <v>4</v>
      </c>
      <c r="G439" s="89" t="s">
        <v>275</v>
      </c>
      <c r="H439" s="89" t="s">
        <v>273</v>
      </c>
      <c r="I439" s="89" t="s">
        <v>185</v>
      </c>
      <c r="J439" s="89" t="s">
        <v>270</v>
      </c>
      <c r="K439" s="89" t="s">
        <v>6330</v>
      </c>
    </row>
    <row r="440" spans="1:11" ht="57" x14ac:dyDescent="0.25">
      <c r="A440" s="88">
        <v>108</v>
      </c>
      <c r="B440" s="89" t="s">
        <v>280</v>
      </c>
      <c r="C440" s="88" t="s">
        <v>0</v>
      </c>
      <c r="D440" s="89"/>
      <c r="E440" s="91">
        <v>83732</v>
      </c>
      <c r="F440" s="88">
        <v>4</v>
      </c>
      <c r="G440" s="89" t="s">
        <v>281</v>
      </c>
      <c r="H440" s="89" t="s">
        <v>282</v>
      </c>
      <c r="I440" s="89" t="s">
        <v>66</v>
      </c>
      <c r="J440" s="89" t="s">
        <v>125</v>
      </c>
      <c r="K440" s="89" t="s">
        <v>6323</v>
      </c>
    </row>
    <row r="441" spans="1:11" ht="71.25" x14ac:dyDescent="0.25">
      <c r="A441" s="88">
        <v>108</v>
      </c>
      <c r="B441" s="89" t="s">
        <v>295</v>
      </c>
      <c r="C441" s="88" t="s">
        <v>0</v>
      </c>
      <c r="D441" s="89"/>
      <c r="E441" s="91">
        <v>138070</v>
      </c>
      <c r="F441" s="88">
        <v>4</v>
      </c>
      <c r="G441" s="89" t="s">
        <v>296</v>
      </c>
      <c r="H441" s="89" t="s">
        <v>297</v>
      </c>
      <c r="I441" s="89" t="s">
        <v>32</v>
      </c>
      <c r="J441" s="89" t="s">
        <v>298</v>
      </c>
      <c r="K441" s="89" t="s">
        <v>6324</v>
      </c>
    </row>
    <row r="442" spans="1:11" ht="57" x14ac:dyDescent="0.25">
      <c r="A442" s="88">
        <v>108</v>
      </c>
      <c r="B442" s="89" t="s">
        <v>283</v>
      </c>
      <c r="C442" s="88" t="s">
        <v>0</v>
      </c>
      <c r="D442" s="89"/>
      <c r="E442" s="91">
        <v>63517</v>
      </c>
      <c r="F442" s="88">
        <v>4</v>
      </c>
      <c r="G442" s="89" t="s">
        <v>284</v>
      </c>
      <c r="H442" s="89" t="s">
        <v>285</v>
      </c>
      <c r="I442" s="89" t="s">
        <v>66</v>
      </c>
      <c r="J442" s="89" t="s">
        <v>286</v>
      </c>
      <c r="K442" s="89" t="str">
        <f>"00047312"</f>
        <v>00047312</v>
      </c>
    </row>
    <row r="443" spans="1:11" ht="71.25" x14ac:dyDescent="0.25">
      <c r="A443" s="88">
        <v>108</v>
      </c>
      <c r="B443" s="89" t="s">
        <v>295</v>
      </c>
      <c r="C443" s="88" t="s">
        <v>0</v>
      </c>
      <c r="D443" s="89"/>
      <c r="E443" s="91">
        <v>42339</v>
      </c>
      <c r="F443" s="88">
        <v>4</v>
      </c>
      <c r="G443" s="89" t="s">
        <v>1922</v>
      </c>
      <c r="H443" s="89" t="s">
        <v>46</v>
      </c>
      <c r="I443" s="89" t="s">
        <v>17</v>
      </c>
      <c r="J443" s="89" t="s">
        <v>619</v>
      </c>
      <c r="K443" s="89" t="s">
        <v>6325</v>
      </c>
    </row>
    <row r="444" spans="1:11" ht="57" x14ac:dyDescent="0.25">
      <c r="A444" s="88">
        <v>108</v>
      </c>
      <c r="B444" s="89" t="s">
        <v>287</v>
      </c>
      <c r="C444" s="88" t="s">
        <v>0</v>
      </c>
      <c r="D444" s="89"/>
      <c r="E444" s="91">
        <v>93893</v>
      </c>
      <c r="F444" s="88">
        <v>4</v>
      </c>
      <c r="G444" s="89" t="s">
        <v>288</v>
      </c>
      <c r="H444" s="89" t="s">
        <v>289</v>
      </c>
      <c r="I444" s="89" t="s">
        <v>32</v>
      </c>
      <c r="J444" s="89" t="s">
        <v>290</v>
      </c>
      <c r="K444" s="89" t="s">
        <v>6326</v>
      </c>
    </row>
    <row r="445" spans="1:11" ht="42.75" x14ac:dyDescent="0.25">
      <c r="A445" s="88">
        <v>108</v>
      </c>
      <c r="B445" s="89" t="s">
        <v>276</v>
      </c>
      <c r="C445" s="88" t="s">
        <v>0</v>
      </c>
      <c r="D445" s="89"/>
      <c r="E445" s="91">
        <v>93387</v>
      </c>
      <c r="F445" s="88">
        <v>4</v>
      </c>
      <c r="G445" s="89" t="s">
        <v>277</v>
      </c>
      <c r="H445" s="89" t="s">
        <v>278</v>
      </c>
      <c r="I445" s="89" t="s">
        <v>32</v>
      </c>
      <c r="J445" s="89" t="s">
        <v>279</v>
      </c>
      <c r="K445" s="89" t="s">
        <v>5895</v>
      </c>
    </row>
    <row r="446" spans="1:11" ht="85.5" x14ac:dyDescent="0.25">
      <c r="A446" s="88">
        <v>108</v>
      </c>
      <c r="B446" s="89" t="s">
        <v>267</v>
      </c>
      <c r="C446" s="88" t="s">
        <v>0</v>
      </c>
      <c r="D446" s="89"/>
      <c r="E446" s="91">
        <v>126193</v>
      </c>
      <c r="F446" s="88">
        <v>4</v>
      </c>
      <c r="G446" s="89" t="s">
        <v>1905</v>
      </c>
      <c r="H446" s="89" t="s">
        <v>1906</v>
      </c>
      <c r="I446" s="89" t="s">
        <v>32</v>
      </c>
      <c r="J446" s="89" t="s">
        <v>294</v>
      </c>
      <c r="K446" s="89" t="s">
        <v>5896</v>
      </c>
    </row>
    <row r="447" spans="1:11" ht="71.25" x14ac:dyDescent="0.25">
      <c r="A447" s="88">
        <v>108</v>
      </c>
      <c r="B447" s="89" t="s">
        <v>1916</v>
      </c>
      <c r="C447" s="88" t="s">
        <v>0</v>
      </c>
      <c r="D447" s="89"/>
      <c r="E447" s="91">
        <v>90000</v>
      </c>
      <c r="F447" s="88">
        <v>4</v>
      </c>
      <c r="G447" s="89" t="s">
        <v>1917</v>
      </c>
      <c r="H447" s="89" t="s">
        <v>1918</v>
      </c>
      <c r="I447" s="89" t="s">
        <v>242</v>
      </c>
      <c r="J447" s="89" t="s">
        <v>1919</v>
      </c>
      <c r="K447" s="89" t="s">
        <v>6658</v>
      </c>
    </row>
    <row r="448" spans="1:11" ht="71.25" x14ac:dyDescent="0.25">
      <c r="A448" s="88">
        <v>108</v>
      </c>
      <c r="B448" s="89" t="s">
        <v>1920</v>
      </c>
      <c r="C448" s="88" t="s">
        <v>0</v>
      </c>
      <c r="D448" s="89"/>
      <c r="E448" s="91">
        <v>98779</v>
      </c>
      <c r="F448" s="88">
        <v>4</v>
      </c>
      <c r="G448" s="89" t="s">
        <v>1921</v>
      </c>
      <c r="H448" s="89" t="s">
        <v>46</v>
      </c>
      <c r="I448" s="89" t="s">
        <v>17</v>
      </c>
      <c r="J448" s="89" t="s">
        <v>619</v>
      </c>
      <c r="K448" s="89" t="s">
        <v>6657</v>
      </c>
    </row>
    <row r="449" spans="1:11" ht="42.75" x14ac:dyDescent="0.25">
      <c r="A449" s="88">
        <v>108</v>
      </c>
      <c r="B449" s="89" t="s">
        <v>1913</v>
      </c>
      <c r="C449" s="88" t="s">
        <v>0</v>
      </c>
      <c r="D449" s="89"/>
      <c r="E449" s="91">
        <v>80000</v>
      </c>
      <c r="F449" s="88">
        <v>4</v>
      </c>
      <c r="G449" s="89" t="s">
        <v>1914</v>
      </c>
      <c r="H449" s="89" t="s">
        <v>1915</v>
      </c>
      <c r="I449" s="89" t="s">
        <v>135</v>
      </c>
      <c r="J449" s="89" t="s">
        <v>136</v>
      </c>
      <c r="K449" s="89" t="str">
        <f>"00047303"</f>
        <v>00047303</v>
      </c>
    </row>
    <row r="450" spans="1:11" ht="71.25" x14ac:dyDescent="0.25">
      <c r="A450" s="88">
        <v>108</v>
      </c>
      <c r="B450" s="89" t="s">
        <v>1818</v>
      </c>
      <c r="C450" s="88" t="s">
        <v>0</v>
      </c>
      <c r="D450" s="89"/>
      <c r="E450" s="91">
        <v>90268</v>
      </c>
      <c r="F450" s="88">
        <v>4</v>
      </c>
      <c r="G450" s="89" t="s">
        <v>1867</v>
      </c>
      <c r="H450" s="89" t="s">
        <v>1868</v>
      </c>
      <c r="I450" s="89" t="s">
        <v>32</v>
      </c>
      <c r="J450" s="89" t="s">
        <v>294</v>
      </c>
      <c r="K450" s="89" t="s">
        <v>6656</v>
      </c>
    </row>
    <row r="451" spans="1:11" ht="42.75" x14ac:dyDescent="0.25">
      <c r="A451" s="88">
        <v>108</v>
      </c>
      <c r="B451" s="89" t="s">
        <v>1862</v>
      </c>
      <c r="C451" s="88" t="s">
        <v>0</v>
      </c>
      <c r="D451" s="89"/>
      <c r="E451" s="91">
        <v>60108</v>
      </c>
      <c r="F451" s="88">
        <v>4</v>
      </c>
      <c r="G451" s="89" t="s">
        <v>1863</v>
      </c>
      <c r="H451" s="89" t="s">
        <v>1864</v>
      </c>
      <c r="I451" s="89" t="s">
        <v>185</v>
      </c>
      <c r="J451" s="89" t="s">
        <v>774</v>
      </c>
      <c r="K451" s="89" t="str">
        <f>"00049165"</f>
        <v>00049165</v>
      </c>
    </row>
    <row r="452" spans="1:11" ht="57" x14ac:dyDescent="0.25">
      <c r="A452" s="88">
        <v>108</v>
      </c>
      <c r="B452" s="89" t="s">
        <v>1907</v>
      </c>
      <c r="C452" s="88" t="s">
        <v>0</v>
      </c>
      <c r="D452" s="89"/>
      <c r="E452" s="91">
        <v>40171</v>
      </c>
      <c r="F452" s="88">
        <v>4</v>
      </c>
      <c r="G452" s="89" t="s">
        <v>1908</v>
      </c>
      <c r="H452" s="89" t="s">
        <v>1909</v>
      </c>
      <c r="I452" s="89" t="s">
        <v>94</v>
      </c>
      <c r="J452" s="89" t="s">
        <v>1910</v>
      </c>
      <c r="K452" s="89" t="s">
        <v>6655</v>
      </c>
    </row>
    <row r="453" spans="1:11" ht="57" x14ac:dyDescent="0.25">
      <c r="A453" s="88">
        <v>108</v>
      </c>
      <c r="B453" s="89" t="s">
        <v>1907</v>
      </c>
      <c r="C453" s="88" t="s">
        <v>0</v>
      </c>
      <c r="D453" s="89"/>
      <c r="E453" s="91">
        <v>38355</v>
      </c>
      <c r="F453" s="88">
        <v>4</v>
      </c>
      <c r="G453" s="89" t="s">
        <v>1908</v>
      </c>
      <c r="H453" s="89" t="s">
        <v>635</v>
      </c>
      <c r="I453" s="89" t="s">
        <v>94</v>
      </c>
      <c r="J453" s="89" t="s">
        <v>1910</v>
      </c>
      <c r="K453" s="89" t="s">
        <v>6014</v>
      </c>
    </row>
    <row r="454" spans="1:11" ht="57" x14ac:dyDescent="0.25">
      <c r="A454" s="88">
        <v>108</v>
      </c>
      <c r="B454" s="89" t="s">
        <v>1847</v>
      </c>
      <c r="C454" s="88" t="s">
        <v>0</v>
      </c>
      <c r="D454" s="89"/>
      <c r="E454" s="91">
        <v>62221</v>
      </c>
      <c r="F454" s="88">
        <v>4</v>
      </c>
      <c r="G454" s="89" t="s">
        <v>1848</v>
      </c>
      <c r="H454" s="89" t="s">
        <v>1849</v>
      </c>
      <c r="I454" s="89" t="s">
        <v>106</v>
      </c>
      <c r="J454" s="89" t="s">
        <v>1850</v>
      </c>
      <c r="K454" s="89" t="s">
        <v>5897</v>
      </c>
    </row>
    <row r="455" spans="1:11" ht="57" x14ac:dyDescent="0.25">
      <c r="A455" s="88">
        <v>108</v>
      </c>
      <c r="B455" s="89" t="s">
        <v>1818</v>
      </c>
      <c r="C455" s="88" t="s">
        <v>0</v>
      </c>
      <c r="D455" s="89"/>
      <c r="E455" s="91">
        <v>80963</v>
      </c>
      <c r="F455" s="88">
        <v>4</v>
      </c>
      <c r="G455" s="89" t="s">
        <v>1911</v>
      </c>
      <c r="H455" s="89" t="s">
        <v>1912</v>
      </c>
      <c r="I455" s="89" t="s">
        <v>32</v>
      </c>
      <c r="J455" s="89" t="s">
        <v>708</v>
      </c>
      <c r="K455" s="89" t="s">
        <v>6338</v>
      </c>
    </row>
    <row r="456" spans="1:11" ht="85.5" x14ac:dyDescent="0.25">
      <c r="A456" s="88">
        <v>108</v>
      </c>
      <c r="B456" s="89" t="s">
        <v>1814</v>
      </c>
      <c r="C456" s="88" t="s">
        <v>0</v>
      </c>
      <c r="D456" s="89"/>
      <c r="E456" s="91">
        <v>52294</v>
      </c>
      <c r="F456" s="88">
        <v>4</v>
      </c>
      <c r="G456" s="89" t="s">
        <v>1855</v>
      </c>
      <c r="H456" s="89" t="s">
        <v>1856</v>
      </c>
      <c r="I456" s="89" t="s">
        <v>32</v>
      </c>
      <c r="J456" s="89" t="s">
        <v>1854</v>
      </c>
      <c r="K456" s="89" t="s">
        <v>6335</v>
      </c>
    </row>
    <row r="457" spans="1:11" ht="42.75" x14ac:dyDescent="0.25">
      <c r="A457" s="88">
        <v>108</v>
      </c>
      <c r="B457" s="89" t="s">
        <v>1857</v>
      </c>
      <c r="C457" s="88" t="s">
        <v>0</v>
      </c>
      <c r="D457" s="89"/>
      <c r="E457" s="91">
        <v>38647</v>
      </c>
      <c r="F457" s="88">
        <v>4</v>
      </c>
      <c r="G457" s="89" t="s">
        <v>1858</v>
      </c>
      <c r="H457" s="89" t="s">
        <v>1859</v>
      </c>
      <c r="I457" s="89" t="s">
        <v>1860</v>
      </c>
      <c r="J457" s="89" t="s">
        <v>1861</v>
      </c>
      <c r="K457" s="89" t="str">
        <f>"00049606"</f>
        <v>00049606</v>
      </c>
    </row>
    <row r="458" spans="1:11" ht="57" x14ac:dyDescent="0.25">
      <c r="A458" s="88">
        <v>108</v>
      </c>
      <c r="B458" s="89" t="s">
        <v>1818</v>
      </c>
      <c r="C458" s="88" t="s">
        <v>0</v>
      </c>
      <c r="D458" s="89"/>
      <c r="E458" s="91">
        <v>80000</v>
      </c>
      <c r="F458" s="88">
        <v>4</v>
      </c>
      <c r="G458" s="89" t="s">
        <v>1844</v>
      </c>
      <c r="H458" s="89" t="s">
        <v>1845</v>
      </c>
      <c r="I458" s="89" t="s">
        <v>763</v>
      </c>
      <c r="J458" s="89" t="s">
        <v>1846</v>
      </c>
      <c r="K458" s="89" t="s">
        <v>6336</v>
      </c>
    </row>
    <row r="459" spans="1:11" ht="57" x14ac:dyDescent="0.25">
      <c r="A459" s="88">
        <v>108</v>
      </c>
      <c r="B459" s="89" t="s">
        <v>1818</v>
      </c>
      <c r="C459" s="88" t="s">
        <v>0</v>
      </c>
      <c r="D459" s="89"/>
      <c r="E459" s="91">
        <v>74000</v>
      </c>
      <c r="F459" s="88">
        <v>4</v>
      </c>
      <c r="G459" s="89" t="s">
        <v>1841</v>
      </c>
      <c r="H459" s="89" t="s">
        <v>1842</v>
      </c>
      <c r="I459" s="89" t="s">
        <v>32</v>
      </c>
      <c r="J459" s="89" t="s">
        <v>1843</v>
      </c>
      <c r="K459" s="89" t="s">
        <v>6337</v>
      </c>
    </row>
    <row r="460" spans="1:11" ht="57" x14ac:dyDescent="0.25">
      <c r="A460" s="88">
        <v>108</v>
      </c>
      <c r="B460" s="89" t="s">
        <v>287</v>
      </c>
      <c r="C460" s="88" t="s">
        <v>0</v>
      </c>
      <c r="D460" s="89"/>
      <c r="E460" s="91">
        <v>65000</v>
      </c>
      <c r="F460" s="88">
        <v>4</v>
      </c>
      <c r="G460" s="89" t="s">
        <v>1865</v>
      </c>
      <c r="H460" s="89" t="s">
        <v>1866</v>
      </c>
      <c r="I460" s="89" t="s">
        <v>66</v>
      </c>
      <c r="J460" s="89" t="s">
        <v>125</v>
      </c>
      <c r="K460" s="89" t="s">
        <v>6334</v>
      </c>
    </row>
    <row r="461" spans="1:11" ht="57" x14ac:dyDescent="0.25">
      <c r="A461" s="88">
        <v>108</v>
      </c>
      <c r="B461" s="89" t="s">
        <v>1818</v>
      </c>
      <c r="C461" s="88" t="s">
        <v>0</v>
      </c>
      <c r="D461" s="89"/>
      <c r="E461" s="91">
        <v>82000</v>
      </c>
      <c r="F461" s="88">
        <v>4</v>
      </c>
      <c r="G461" s="89" t="s">
        <v>1869</v>
      </c>
      <c r="H461" s="89" t="s">
        <v>1842</v>
      </c>
      <c r="I461" s="89" t="s">
        <v>32</v>
      </c>
      <c r="J461" s="89" t="s">
        <v>1870</v>
      </c>
      <c r="K461" s="89" t="s">
        <v>6333</v>
      </c>
    </row>
    <row r="462" spans="1:11" ht="42.75" x14ac:dyDescent="0.25">
      <c r="A462" s="88">
        <v>108</v>
      </c>
      <c r="B462" s="89" t="s">
        <v>295</v>
      </c>
      <c r="C462" s="88" t="s">
        <v>0</v>
      </c>
      <c r="D462" s="89"/>
      <c r="E462" s="91">
        <v>146545</v>
      </c>
      <c r="F462" s="88">
        <v>4</v>
      </c>
      <c r="G462" s="89" t="s">
        <v>1873</v>
      </c>
      <c r="H462" s="89" t="s">
        <v>1874</v>
      </c>
      <c r="I462" s="89" t="s">
        <v>849</v>
      </c>
      <c r="J462" s="89" t="s">
        <v>1875</v>
      </c>
      <c r="K462" s="89" t="s">
        <v>6332</v>
      </c>
    </row>
    <row r="463" spans="1:11" ht="42.75" x14ac:dyDescent="0.25">
      <c r="A463" s="88">
        <v>108</v>
      </c>
      <c r="B463" s="89" t="s">
        <v>1814</v>
      </c>
      <c r="C463" s="88" t="s">
        <v>0</v>
      </c>
      <c r="D463" s="89"/>
      <c r="E463" s="91">
        <v>12389</v>
      </c>
      <c r="F463" s="88">
        <v>4</v>
      </c>
      <c r="G463" s="89" t="s">
        <v>1871</v>
      </c>
      <c r="H463" s="89" t="s">
        <v>1872</v>
      </c>
      <c r="I463" s="89" t="s">
        <v>66</v>
      </c>
      <c r="J463" s="89" t="s">
        <v>125</v>
      </c>
      <c r="K463" s="89" t="s">
        <v>6331</v>
      </c>
    </row>
    <row r="464" spans="1:11" ht="85.5" x14ac:dyDescent="0.25">
      <c r="A464" s="88">
        <v>108</v>
      </c>
      <c r="B464" s="89" t="s">
        <v>1882</v>
      </c>
      <c r="C464" s="88" t="s">
        <v>0</v>
      </c>
      <c r="D464" s="89"/>
      <c r="E464" s="91">
        <v>73582</v>
      </c>
      <c r="F464" s="88">
        <v>4</v>
      </c>
      <c r="G464" s="89" t="s">
        <v>1883</v>
      </c>
      <c r="H464" s="89" t="s">
        <v>1884</v>
      </c>
      <c r="I464" s="89" t="s">
        <v>173</v>
      </c>
      <c r="J464" s="89" t="s">
        <v>1724</v>
      </c>
      <c r="K464" s="89" t="str">
        <f>"00049575"</f>
        <v>00049575</v>
      </c>
    </row>
    <row r="465" spans="1:11" ht="42.75" x14ac:dyDescent="0.25">
      <c r="A465" s="88">
        <v>108</v>
      </c>
      <c r="B465" s="89" t="s">
        <v>1880</v>
      </c>
      <c r="C465" s="88" t="s">
        <v>0</v>
      </c>
      <c r="D465" s="89"/>
      <c r="E465" s="91">
        <v>41227</v>
      </c>
      <c r="F465" s="88">
        <v>4</v>
      </c>
      <c r="G465" s="89" t="s">
        <v>1881</v>
      </c>
      <c r="H465" s="89" t="s">
        <v>1676</v>
      </c>
      <c r="I465" s="89" t="s">
        <v>849</v>
      </c>
      <c r="J465" s="89" t="s">
        <v>1532</v>
      </c>
      <c r="K465" s="89" t="str">
        <f>"00049805"</f>
        <v>00049805</v>
      </c>
    </row>
    <row r="466" spans="1:11" ht="71.25" x14ac:dyDescent="0.25">
      <c r="A466" s="88">
        <v>108</v>
      </c>
      <c r="B466" s="89" t="s">
        <v>1891</v>
      </c>
      <c r="C466" s="88" t="s">
        <v>0</v>
      </c>
      <c r="D466" s="89"/>
      <c r="E466" s="91">
        <v>83341</v>
      </c>
      <c r="F466" s="88">
        <v>4</v>
      </c>
      <c r="G466" s="89" t="s">
        <v>1892</v>
      </c>
      <c r="H466" s="89" t="s">
        <v>1893</v>
      </c>
      <c r="I466" s="89" t="s">
        <v>1894</v>
      </c>
      <c r="J466" s="89" t="s">
        <v>1895</v>
      </c>
      <c r="K466" s="89" t="str">
        <f>"00050186"</f>
        <v>00050186</v>
      </c>
    </row>
    <row r="467" spans="1:11" ht="42.75" x14ac:dyDescent="0.25">
      <c r="A467" s="88">
        <v>108</v>
      </c>
      <c r="B467" s="89" t="s">
        <v>1896</v>
      </c>
      <c r="C467" s="88" t="s">
        <v>0</v>
      </c>
      <c r="D467" s="89"/>
      <c r="E467" s="91">
        <v>96739</v>
      </c>
      <c r="F467" s="88">
        <v>4</v>
      </c>
      <c r="G467" s="89" t="s">
        <v>1897</v>
      </c>
      <c r="H467" s="89" t="s">
        <v>1898</v>
      </c>
      <c r="I467" s="89" t="s">
        <v>1131</v>
      </c>
      <c r="J467" s="89" t="s">
        <v>1132</v>
      </c>
      <c r="K467" s="89" t="s">
        <v>6654</v>
      </c>
    </row>
    <row r="468" spans="1:11" ht="42.75" x14ac:dyDescent="0.25">
      <c r="A468" s="88">
        <v>108</v>
      </c>
      <c r="B468" s="89" t="s">
        <v>1038</v>
      </c>
      <c r="C468" s="88" t="s">
        <v>0</v>
      </c>
      <c r="D468" s="89"/>
      <c r="E468" s="91">
        <v>79460</v>
      </c>
      <c r="F468" s="88">
        <v>4</v>
      </c>
      <c r="G468" s="89" t="s">
        <v>1876</v>
      </c>
      <c r="H468" s="89" t="s">
        <v>1877</v>
      </c>
      <c r="I468" s="89" t="s">
        <v>1878</v>
      </c>
      <c r="J468" s="89" t="s">
        <v>1879</v>
      </c>
      <c r="K468" s="89" t="s">
        <v>6653</v>
      </c>
    </row>
    <row r="469" spans="1:11" ht="114" x14ac:dyDescent="0.25">
      <c r="A469" s="88">
        <v>108</v>
      </c>
      <c r="B469" s="89" t="s">
        <v>1899</v>
      </c>
      <c r="C469" s="88" t="s">
        <v>0</v>
      </c>
      <c r="D469" s="89"/>
      <c r="E469" s="91">
        <v>100000</v>
      </c>
      <c r="F469" s="88">
        <v>4</v>
      </c>
      <c r="G469" s="89" t="s">
        <v>1900</v>
      </c>
      <c r="H469" s="89" t="s">
        <v>1901</v>
      </c>
      <c r="I469" s="89" t="s">
        <v>849</v>
      </c>
      <c r="J469" s="89" t="s">
        <v>1532</v>
      </c>
      <c r="K469" s="89" t="str">
        <f>"00049685"</f>
        <v>00049685</v>
      </c>
    </row>
    <row r="470" spans="1:11" ht="71.25" x14ac:dyDescent="0.25">
      <c r="A470" s="88">
        <v>108</v>
      </c>
      <c r="B470" s="89" t="s">
        <v>1934</v>
      </c>
      <c r="C470" s="88" t="s">
        <v>0</v>
      </c>
      <c r="D470" s="89"/>
      <c r="E470" s="91">
        <v>69989</v>
      </c>
      <c r="F470" s="88">
        <v>4</v>
      </c>
      <c r="G470" s="89" t="s">
        <v>1935</v>
      </c>
      <c r="H470" s="89" t="s">
        <v>1936</v>
      </c>
      <c r="I470" s="89" t="s">
        <v>32</v>
      </c>
      <c r="J470" s="89" t="s">
        <v>1937</v>
      </c>
      <c r="K470" s="89" t="str">
        <f>"00051251"</f>
        <v>00051251</v>
      </c>
    </row>
    <row r="471" spans="1:11" ht="42.75" x14ac:dyDescent="0.25">
      <c r="A471" s="88">
        <v>108</v>
      </c>
      <c r="B471" s="89" t="s">
        <v>1902</v>
      </c>
      <c r="C471" s="88" t="s">
        <v>0</v>
      </c>
      <c r="D471" s="89"/>
      <c r="E471" s="91">
        <v>80000</v>
      </c>
      <c r="F471" s="88">
        <v>4</v>
      </c>
      <c r="G471" s="89" t="s">
        <v>1903</v>
      </c>
      <c r="H471" s="89" t="s">
        <v>1904</v>
      </c>
      <c r="I471" s="89" t="s">
        <v>849</v>
      </c>
      <c r="J471" s="89" t="s">
        <v>1532</v>
      </c>
      <c r="K471" s="89" t="s">
        <v>6652</v>
      </c>
    </row>
    <row r="472" spans="1:11" ht="85.5" x14ac:dyDescent="0.25">
      <c r="A472" s="88">
        <v>108</v>
      </c>
      <c r="B472" s="89" t="s">
        <v>1851</v>
      </c>
      <c r="C472" s="88" t="s">
        <v>0</v>
      </c>
      <c r="D472" s="89"/>
      <c r="E472" s="91">
        <v>22938</v>
      </c>
      <c r="F472" s="88">
        <v>4</v>
      </c>
      <c r="G472" s="89" t="s">
        <v>1885</v>
      </c>
      <c r="H472" s="89" t="s">
        <v>1886</v>
      </c>
      <c r="I472" s="89" t="s">
        <v>32</v>
      </c>
      <c r="J472" s="89" t="s">
        <v>1854</v>
      </c>
      <c r="K472" s="89" t="str">
        <f>"00048840"</f>
        <v>00048840</v>
      </c>
    </row>
    <row r="473" spans="1:11" ht="42.75" x14ac:dyDescent="0.25">
      <c r="A473" s="88">
        <v>108</v>
      </c>
      <c r="B473" s="89" t="s">
        <v>1887</v>
      </c>
      <c r="C473" s="88" t="s">
        <v>0</v>
      </c>
      <c r="D473" s="89"/>
      <c r="E473" s="91">
        <v>100000</v>
      </c>
      <c r="F473" s="88">
        <v>4</v>
      </c>
      <c r="G473" s="89" t="s">
        <v>1888</v>
      </c>
      <c r="H473" s="89" t="s">
        <v>1889</v>
      </c>
      <c r="I473" s="89" t="s">
        <v>209</v>
      </c>
      <c r="J473" s="89" t="s">
        <v>1890</v>
      </c>
      <c r="K473" s="89" t="str">
        <f>"00050638"</f>
        <v>00050638</v>
      </c>
    </row>
    <row r="474" spans="1:11" ht="114" x14ac:dyDescent="0.25">
      <c r="A474" s="88">
        <v>108</v>
      </c>
      <c r="B474" s="89" t="s">
        <v>1955</v>
      </c>
      <c r="C474" s="88" t="s">
        <v>0</v>
      </c>
      <c r="D474" s="89"/>
      <c r="E474" s="91">
        <v>53473</v>
      </c>
      <c r="F474" s="88">
        <v>4</v>
      </c>
      <c r="G474" s="89" t="s">
        <v>1956</v>
      </c>
      <c r="H474" s="89" t="s">
        <v>1957</v>
      </c>
      <c r="I474" s="89" t="s">
        <v>998</v>
      </c>
      <c r="J474" s="89" t="s">
        <v>999</v>
      </c>
      <c r="K474" s="89" t="s">
        <v>6339</v>
      </c>
    </row>
    <row r="475" spans="1:11" ht="57" x14ac:dyDescent="0.25">
      <c r="A475" s="88">
        <v>108</v>
      </c>
      <c r="B475" s="89" t="s">
        <v>1818</v>
      </c>
      <c r="C475" s="88" t="s">
        <v>0</v>
      </c>
      <c r="D475" s="89"/>
      <c r="E475" s="91">
        <v>55000</v>
      </c>
      <c r="F475" s="88">
        <v>4</v>
      </c>
      <c r="G475" s="89" t="s">
        <v>1953</v>
      </c>
      <c r="H475" s="89" t="s">
        <v>1954</v>
      </c>
      <c r="I475" s="89" t="s">
        <v>746</v>
      </c>
      <c r="J475" s="89" t="s">
        <v>747</v>
      </c>
      <c r="K475" s="89" t="s">
        <v>6340</v>
      </c>
    </row>
    <row r="476" spans="1:11" ht="57" x14ac:dyDescent="0.25">
      <c r="A476" s="88">
        <v>108</v>
      </c>
      <c r="B476" s="89" t="s">
        <v>1931</v>
      </c>
      <c r="C476" s="88" t="s">
        <v>0</v>
      </c>
      <c r="D476" s="89"/>
      <c r="E476" s="91">
        <v>70000</v>
      </c>
      <c r="F476" s="88">
        <v>4</v>
      </c>
      <c r="G476" s="89" t="s">
        <v>1932</v>
      </c>
      <c r="H476" s="89" t="s">
        <v>1933</v>
      </c>
      <c r="I476" s="89" t="s">
        <v>237</v>
      </c>
      <c r="J476" s="89" t="s">
        <v>1715</v>
      </c>
      <c r="K476" s="25" t="s">
        <v>6341</v>
      </c>
    </row>
    <row r="477" spans="1:11" ht="42.75" x14ac:dyDescent="0.25">
      <c r="A477" s="88">
        <v>108</v>
      </c>
      <c r="B477" s="89" t="s">
        <v>1942</v>
      </c>
      <c r="C477" s="88" t="s">
        <v>0</v>
      </c>
      <c r="D477" s="89"/>
      <c r="E477" s="91">
        <v>70563</v>
      </c>
      <c r="F477" s="88">
        <v>4</v>
      </c>
      <c r="G477" s="89" t="s">
        <v>1943</v>
      </c>
      <c r="H477" s="89" t="s">
        <v>1944</v>
      </c>
      <c r="I477" s="89" t="s">
        <v>209</v>
      </c>
      <c r="J477" s="89" t="s">
        <v>1890</v>
      </c>
      <c r="K477" s="89" t="s">
        <v>6342</v>
      </c>
    </row>
    <row r="478" spans="1:11" ht="57" x14ac:dyDescent="0.25">
      <c r="A478" s="88">
        <v>108</v>
      </c>
      <c r="B478" s="89" t="s">
        <v>1938</v>
      </c>
      <c r="C478" s="88" t="s">
        <v>0</v>
      </c>
      <c r="D478" s="89"/>
      <c r="E478" s="91">
        <v>95427</v>
      </c>
      <c r="F478" s="88">
        <v>4</v>
      </c>
      <c r="G478" s="89" t="s">
        <v>1939</v>
      </c>
      <c r="H478" s="89" t="s">
        <v>1940</v>
      </c>
      <c r="I478" s="89" t="s">
        <v>763</v>
      </c>
      <c r="J478" s="89" t="s">
        <v>1941</v>
      </c>
      <c r="K478" s="89" t="s">
        <v>6343</v>
      </c>
    </row>
    <row r="479" spans="1:11" ht="71.25" x14ac:dyDescent="0.25">
      <c r="A479" s="88">
        <v>108</v>
      </c>
      <c r="B479" s="89" t="s">
        <v>1928</v>
      </c>
      <c r="C479" s="88" t="s">
        <v>0</v>
      </c>
      <c r="D479" s="89"/>
      <c r="E479" s="91">
        <v>100000</v>
      </c>
      <c r="F479" s="88">
        <v>4</v>
      </c>
      <c r="G479" s="89" t="s">
        <v>1929</v>
      </c>
      <c r="H479" s="89" t="s">
        <v>1930</v>
      </c>
      <c r="I479" s="89" t="s">
        <v>106</v>
      </c>
      <c r="J479" s="89" t="s">
        <v>755</v>
      </c>
      <c r="K479" s="89" t="str">
        <f>"00050263"</f>
        <v>00050263</v>
      </c>
    </row>
    <row r="480" spans="1:11" ht="57" x14ac:dyDescent="0.25">
      <c r="A480" s="88">
        <v>108</v>
      </c>
      <c r="B480" s="89" t="s">
        <v>1907</v>
      </c>
      <c r="C480" s="88" t="s">
        <v>0</v>
      </c>
      <c r="D480" s="89"/>
      <c r="E480" s="91">
        <v>14351</v>
      </c>
      <c r="F480" s="88">
        <v>4</v>
      </c>
      <c r="G480" s="89" t="s">
        <v>1945</v>
      </c>
      <c r="H480" s="89" t="s">
        <v>1946</v>
      </c>
      <c r="I480" s="89" t="s">
        <v>66</v>
      </c>
      <c r="J480" s="89" t="s">
        <v>1311</v>
      </c>
      <c r="K480" s="89" t="s">
        <v>6344</v>
      </c>
    </row>
    <row r="481" spans="1:11" ht="57" x14ac:dyDescent="0.25">
      <c r="A481" s="88">
        <v>108</v>
      </c>
      <c r="B481" s="89" t="s">
        <v>1907</v>
      </c>
      <c r="C481" s="88" t="s">
        <v>0</v>
      </c>
      <c r="D481" s="89"/>
      <c r="E481" s="91">
        <v>13133</v>
      </c>
      <c r="F481" s="88">
        <v>4</v>
      </c>
      <c r="G481" s="89" t="s">
        <v>1945</v>
      </c>
      <c r="H481" s="89" t="s">
        <v>1946</v>
      </c>
      <c r="I481" s="89" t="s">
        <v>66</v>
      </c>
      <c r="J481" s="89" t="s">
        <v>1311</v>
      </c>
      <c r="K481" s="89" t="s">
        <v>6345</v>
      </c>
    </row>
    <row r="482" spans="1:11" ht="57" x14ac:dyDescent="0.25">
      <c r="A482" s="88">
        <v>108</v>
      </c>
      <c r="B482" s="89" t="s">
        <v>1907</v>
      </c>
      <c r="C482" s="88" t="s">
        <v>0</v>
      </c>
      <c r="D482" s="89"/>
      <c r="E482" s="91">
        <v>13750</v>
      </c>
      <c r="F482" s="88">
        <v>4</v>
      </c>
      <c r="G482" s="89" t="s">
        <v>1945</v>
      </c>
      <c r="H482" s="89" t="s">
        <v>1946</v>
      </c>
      <c r="I482" s="89" t="s">
        <v>66</v>
      </c>
      <c r="J482" s="89" t="s">
        <v>1311</v>
      </c>
      <c r="K482" s="89" t="s">
        <v>6346</v>
      </c>
    </row>
    <row r="483" spans="1:11" ht="57" x14ac:dyDescent="0.25">
      <c r="A483" s="88">
        <v>108</v>
      </c>
      <c r="B483" s="89" t="s">
        <v>1825</v>
      </c>
      <c r="C483" s="88" t="s">
        <v>0</v>
      </c>
      <c r="D483" s="89"/>
      <c r="E483" s="91">
        <v>83287</v>
      </c>
      <c r="F483" s="88">
        <v>4</v>
      </c>
      <c r="G483" s="89" t="s">
        <v>1951</v>
      </c>
      <c r="H483" s="89" t="s">
        <v>1952</v>
      </c>
      <c r="I483" s="89" t="s">
        <v>185</v>
      </c>
      <c r="J483" s="89" t="s">
        <v>697</v>
      </c>
      <c r="K483" s="25" t="s">
        <v>6347</v>
      </c>
    </row>
    <row r="484" spans="1:11" ht="57" x14ac:dyDescent="0.25">
      <c r="A484" s="88">
        <v>108</v>
      </c>
      <c r="B484" s="89" t="s">
        <v>1907</v>
      </c>
      <c r="C484" s="88" t="s">
        <v>0</v>
      </c>
      <c r="D484" s="89"/>
      <c r="E484" s="91">
        <v>13750</v>
      </c>
      <c r="F484" s="88">
        <v>4</v>
      </c>
      <c r="G484" s="89" t="s">
        <v>1945</v>
      </c>
      <c r="H484" s="89" t="s">
        <v>1946</v>
      </c>
      <c r="I484" s="89" t="s">
        <v>66</v>
      </c>
      <c r="J484" s="89" t="s">
        <v>1311</v>
      </c>
      <c r="K484" s="89" t="s">
        <v>5898</v>
      </c>
    </row>
    <row r="485" spans="1:11" ht="57" x14ac:dyDescent="0.25">
      <c r="A485" s="88">
        <v>108</v>
      </c>
      <c r="B485" s="89" t="s">
        <v>287</v>
      </c>
      <c r="C485" s="88" t="s">
        <v>0</v>
      </c>
      <c r="D485" s="89"/>
      <c r="E485" s="91">
        <v>66000</v>
      </c>
      <c r="F485" s="88">
        <v>4</v>
      </c>
      <c r="G485" s="89" t="s">
        <v>1923</v>
      </c>
      <c r="H485" s="89" t="s">
        <v>1924</v>
      </c>
      <c r="I485" s="89" t="s">
        <v>106</v>
      </c>
      <c r="J485" s="89" t="s">
        <v>755</v>
      </c>
      <c r="K485" s="89" t="str">
        <f>"00049116"</f>
        <v>00049116</v>
      </c>
    </row>
    <row r="486" spans="1:11" ht="57" x14ac:dyDescent="0.25">
      <c r="A486" s="88">
        <v>108</v>
      </c>
      <c r="B486" s="89" t="s">
        <v>1907</v>
      </c>
      <c r="C486" s="88" t="s">
        <v>0</v>
      </c>
      <c r="D486" s="89"/>
      <c r="E486" s="91">
        <v>13750</v>
      </c>
      <c r="F486" s="88">
        <v>4</v>
      </c>
      <c r="G486" s="89" t="s">
        <v>1945</v>
      </c>
      <c r="H486" s="89" t="s">
        <v>1946</v>
      </c>
      <c r="I486" s="89" t="s">
        <v>66</v>
      </c>
      <c r="J486" s="89" t="s">
        <v>1311</v>
      </c>
      <c r="K486" s="89" t="s">
        <v>6354</v>
      </c>
    </row>
    <row r="487" spans="1:11" ht="57" x14ac:dyDescent="0.25">
      <c r="A487" s="88">
        <v>108</v>
      </c>
      <c r="B487" s="89" t="s">
        <v>1907</v>
      </c>
      <c r="C487" s="88" t="s">
        <v>0</v>
      </c>
      <c r="D487" s="89"/>
      <c r="E487" s="91">
        <v>13750</v>
      </c>
      <c r="F487" s="88">
        <v>4</v>
      </c>
      <c r="G487" s="89" t="s">
        <v>1945</v>
      </c>
      <c r="H487" s="89" t="s">
        <v>1946</v>
      </c>
      <c r="I487" s="89" t="s">
        <v>66</v>
      </c>
      <c r="J487" s="89" t="s">
        <v>1311</v>
      </c>
      <c r="K487" s="89" t="s">
        <v>6348</v>
      </c>
    </row>
    <row r="488" spans="1:11" ht="57" x14ac:dyDescent="0.25">
      <c r="A488" s="88">
        <v>108</v>
      </c>
      <c r="B488" s="89" t="s">
        <v>1907</v>
      </c>
      <c r="C488" s="88" t="s">
        <v>0</v>
      </c>
      <c r="D488" s="89"/>
      <c r="E488" s="91">
        <v>14350</v>
      </c>
      <c r="F488" s="88">
        <v>4</v>
      </c>
      <c r="G488" s="89" t="s">
        <v>1945</v>
      </c>
      <c r="H488" s="89" t="s">
        <v>1946</v>
      </c>
      <c r="I488" s="89" t="s">
        <v>66</v>
      </c>
      <c r="J488" s="89" t="s">
        <v>1311</v>
      </c>
      <c r="K488" s="89" t="s">
        <v>6349</v>
      </c>
    </row>
    <row r="489" spans="1:11" ht="57" x14ac:dyDescent="0.25">
      <c r="A489" s="88">
        <v>108</v>
      </c>
      <c r="B489" s="89" t="s">
        <v>1907</v>
      </c>
      <c r="C489" s="88" t="s">
        <v>0</v>
      </c>
      <c r="D489" s="89"/>
      <c r="E489" s="91">
        <v>14350</v>
      </c>
      <c r="F489" s="88">
        <v>4</v>
      </c>
      <c r="G489" s="89" t="s">
        <v>1945</v>
      </c>
      <c r="H489" s="89" t="s">
        <v>1946</v>
      </c>
      <c r="I489" s="89" t="s">
        <v>66</v>
      </c>
      <c r="J489" s="89" t="s">
        <v>1311</v>
      </c>
      <c r="K489" s="89" t="s">
        <v>6350</v>
      </c>
    </row>
    <row r="490" spans="1:11" ht="42.75" x14ac:dyDescent="0.25">
      <c r="A490" s="88">
        <v>108</v>
      </c>
      <c r="B490" s="89" t="s">
        <v>1947</v>
      </c>
      <c r="C490" s="88" t="s">
        <v>0</v>
      </c>
      <c r="D490" s="89"/>
      <c r="E490" s="91">
        <v>65000</v>
      </c>
      <c r="F490" s="88">
        <v>4</v>
      </c>
      <c r="G490" s="89" t="s">
        <v>1948</v>
      </c>
      <c r="H490" s="89" t="s">
        <v>1949</v>
      </c>
      <c r="I490" s="89" t="s">
        <v>787</v>
      </c>
      <c r="J490" s="89" t="s">
        <v>1950</v>
      </c>
      <c r="K490" s="89" t="str">
        <f>"00051327"</f>
        <v>00051327</v>
      </c>
    </row>
    <row r="491" spans="1:11" ht="85.5" x14ac:dyDescent="0.25">
      <c r="A491" s="88">
        <v>108</v>
      </c>
      <c r="B491" s="89" t="s">
        <v>1828</v>
      </c>
      <c r="C491" s="88" t="s">
        <v>0</v>
      </c>
      <c r="D491" s="89"/>
      <c r="E491" s="91">
        <v>71233</v>
      </c>
      <c r="F491" s="88">
        <v>4</v>
      </c>
      <c r="G491" s="89" t="s">
        <v>1829</v>
      </c>
      <c r="H491" s="89" t="s">
        <v>1830</v>
      </c>
      <c r="I491" s="89" t="s">
        <v>106</v>
      </c>
      <c r="J491" s="89" t="s">
        <v>1824</v>
      </c>
      <c r="K491" s="89" t="s">
        <v>6351</v>
      </c>
    </row>
    <row r="492" spans="1:11" ht="71.25" x14ac:dyDescent="0.25">
      <c r="A492" s="88">
        <v>108</v>
      </c>
      <c r="B492" s="89" t="s">
        <v>1835</v>
      </c>
      <c r="C492" s="88" t="s">
        <v>0</v>
      </c>
      <c r="D492" s="89"/>
      <c r="E492" s="91">
        <v>100411</v>
      </c>
      <c r="F492" s="88">
        <v>4</v>
      </c>
      <c r="G492" s="89" t="s">
        <v>1836</v>
      </c>
      <c r="H492" s="89" t="s">
        <v>1837</v>
      </c>
      <c r="I492" s="89" t="s">
        <v>17</v>
      </c>
      <c r="J492" s="89" t="s">
        <v>18</v>
      </c>
      <c r="K492" s="89" t="s">
        <v>6352</v>
      </c>
    </row>
    <row r="493" spans="1:11" ht="42.75" x14ac:dyDescent="0.25">
      <c r="A493" s="88">
        <v>108</v>
      </c>
      <c r="B493" s="89" t="s">
        <v>1831</v>
      </c>
      <c r="C493" s="88" t="s">
        <v>0</v>
      </c>
      <c r="D493" s="89"/>
      <c r="E493" s="91">
        <v>60000</v>
      </c>
      <c r="F493" s="88">
        <v>4</v>
      </c>
      <c r="G493" s="89" t="s">
        <v>1832</v>
      </c>
      <c r="H493" s="89" t="s">
        <v>1833</v>
      </c>
      <c r="I493" s="89" t="s">
        <v>161</v>
      </c>
      <c r="J493" s="89" t="s">
        <v>1834</v>
      </c>
      <c r="K493" s="89" t="s">
        <v>6353</v>
      </c>
    </row>
    <row r="494" spans="1:11" ht="71.25" x14ac:dyDescent="0.25">
      <c r="A494" s="88">
        <v>108</v>
      </c>
      <c r="B494" s="89" t="s">
        <v>1831</v>
      </c>
      <c r="C494" s="88" t="s">
        <v>0</v>
      </c>
      <c r="D494" s="89"/>
      <c r="E494" s="91">
        <v>37519</v>
      </c>
      <c r="F494" s="88">
        <v>4</v>
      </c>
      <c r="G494" s="89" t="s">
        <v>1832</v>
      </c>
      <c r="H494" s="89" t="s">
        <v>1838</v>
      </c>
      <c r="I494" s="89" t="s">
        <v>1839</v>
      </c>
      <c r="J494" s="89" t="s">
        <v>1840</v>
      </c>
      <c r="K494" s="89" t="str">
        <f>"00051747"</f>
        <v>00051747</v>
      </c>
    </row>
    <row r="495" spans="1:11" ht="42.75" x14ac:dyDescent="0.25">
      <c r="A495" s="88">
        <v>108</v>
      </c>
      <c r="B495" s="89" t="s">
        <v>1821</v>
      </c>
      <c r="C495" s="88" t="s">
        <v>0</v>
      </c>
      <c r="D495" s="89"/>
      <c r="E495" s="91">
        <v>15595</v>
      </c>
      <c r="F495" s="88">
        <v>4</v>
      </c>
      <c r="G495" s="89" t="s">
        <v>1822</v>
      </c>
      <c r="H495" s="89" t="s">
        <v>1823</v>
      </c>
      <c r="I495" s="89" t="s">
        <v>106</v>
      </c>
      <c r="J495" s="89" t="s">
        <v>1824</v>
      </c>
      <c r="K495" s="89" t="str">
        <f>"00051892"</f>
        <v>00051892</v>
      </c>
    </row>
    <row r="496" spans="1:11" ht="85.5" x14ac:dyDescent="0.25">
      <c r="A496" s="88">
        <v>108</v>
      </c>
      <c r="B496" s="89" t="s">
        <v>1925</v>
      </c>
      <c r="C496" s="88" t="s">
        <v>0</v>
      </c>
      <c r="D496" s="89"/>
      <c r="E496" s="91">
        <v>57572</v>
      </c>
      <c r="F496" s="88">
        <v>4</v>
      </c>
      <c r="G496" s="89" t="s">
        <v>1926</v>
      </c>
      <c r="H496" s="89" t="s">
        <v>1927</v>
      </c>
      <c r="I496" s="89" t="s">
        <v>66</v>
      </c>
      <c r="J496" s="89" t="s">
        <v>125</v>
      </c>
      <c r="K496" s="89" t="str">
        <f>"00049676"</f>
        <v>00049676</v>
      </c>
    </row>
    <row r="497" spans="1:11" ht="57" x14ac:dyDescent="0.25">
      <c r="A497" s="88">
        <v>108</v>
      </c>
      <c r="B497" s="89" t="s">
        <v>1825</v>
      </c>
      <c r="C497" s="88" t="s">
        <v>0</v>
      </c>
      <c r="D497" s="89"/>
      <c r="E497" s="91">
        <v>91312</v>
      </c>
      <c r="F497" s="88">
        <v>4</v>
      </c>
      <c r="G497" s="89" t="s">
        <v>1826</v>
      </c>
      <c r="H497" s="89" t="s">
        <v>1827</v>
      </c>
      <c r="I497" s="89" t="s">
        <v>94</v>
      </c>
      <c r="J497" s="89" t="s">
        <v>355</v>
      </c>
      <c r="K497" s="89" t="s">
        <v>6651</v>
      </c>
    </row>
    <row r="498" spans="1:11" ht="85.5" x14ac:dyDescent="0.25">
      <c r="A498" s="88">
        <v>108</v>
      </c>
      <c r="B498" s="89" t="s">
        <v>5374</v>
      </c>
      <c r="C498" s="88" t="s">
        <v>0</v>
      </c>
      <c r="D498" s="89"/>
      <c r="E498" s="91">
        <v>47328</v>
      </c>
      <c r="F498" s="88">
        <v>4</v>
      </c>
      <c r="G498" s="89" t="s">
        <v>1852</v>
      </c>
      <c r="H498" s="89" t="s">
        <v>1853</v>
      </c>
      <c r="I498" s="89" t="s">
        <v>32</v>
      </c>
      <c r="J498" s="89" t="s">
        <v>1854</v>
      </c>
      <c r="K498" s="89" t="str">
        <f>"00048743"</f>
        <v>00048743</v>
      </c>
    </row>
    <row r="499" spans="1:11" ht="57" x14ac:dyDescent="0.25">
      <c r="A499" s="88">
        <v>108</v>
      </c>
      <c r="B499" s="89" t="s">
        <v>1818</v>
      </c>
      <c r="C499" s="88" t="s">
        <v>0</v>
      </c>
      <c r="D499" s="89"/>
      <c r="E499" s="91">
        <v>102928</v>
      </c>
      <c r="F499" s="88">
        <v>4</v>
      </c>
      <c r="G499" s="89" t="s">
        <v>1819</v>
      </c>
      <c r="H499" s="89" t="s">
        <v>1820</v>
      </c>
      <c r="I499" s="89" t="s">
        <v>763</v>
      </c>
      <c r="J499" s="89" t="s">
        <v>1817</v>
      </c>
      <c r="K499" s="89" t="s">
        <v>6650</v>
      </c>
    </row>
    <row r="500" spans="1:11" ht="57" x14ac:dyDescent="0.25">
      <c r="A500" s="88">
        <v>108</v>
      </c>
      <c r="B500" s="89" t="s">
        <v>1814</v>
      </c>
      <c r="C500" s="88" t="s">
        <v>0</v>
      </c>
      <c r="D500" s="89"/>
      <c r="E500" s="91">
        <v>59823</v>
      </c>
      <c r="F500" s="88">
        <v>4</v>
      </c>
      <c r="G500" s="89" t="s">
        <v>1815</v>
      </c>
      <c r="H500" s="89" t="s">
        <v>1816</v>
      </c>
      <c r="I500" s="89" t="s">
        <v>763</v>
      </c>
      <c r="J500" s="89" t="s">
        <v>1817</v>
      </c>
      <c r="K500" s="89" t="str">
        <f>"00052361"</f>
        <v>00052361</v>
      </c>
    </row>
    <row r="501" spans="1:11" ht="57" x14ac:dyDescent="0.25">
      <c r="A501" s="88">
        <v>108</v>
      </c>
      <c r="B501" s="89" t="s">
        <v>276</v>
      </c>
      <c r="C501" s="88" t="s">
        <v>0</v>
      </c>
      <c r="D501" s="89"/>
      <c r="E501" s="91">
        <v>97876</v>
      </c>
      <c r="F501" s="88">
        <v>4</v>
      </c>
      <c r="G501" s="89" t="s">
        <v>5375</v>
      </c>
      <c r="H501" s="89" t="s">
        <v>2668</v>
      </c>
      <c r="I501" s="89" t="s">
        <v>763</v>
      </c>
      <c r="J501" s="89" t="s">
        <v>1817</v>
      </c>
      <c r="K501" s="89" t="s">
        <v>6649</v>
      </c>
    </row>
    <row r="502" spans="1:11" ht="85.5" x14ac:dyDescent="0.25">
      <c r="A502" s="88">
        <v>108</v>
      </c>
      <c r="B502" s="89" t="s">
        <v>1828</v>
      </c>
      <c r="C502" s="88" t="s">
        <v>0</v>
      </c>
      <c r="D502" s="89"/>
      <c r="E502" s="91">
        <v>50000</v>
      </c>
      <c r="F502" s="88">
        <v>4</v>
      </c>
      <c r="G502" s="89" t="s">
        <v>5376</v>
      </c>
      <c r="H502" s="89" t="s">
        <v>5377</v>
      </c>
      <c r="I502" s="89" t="s">
        <v>32</v>
      </c>
      <c r="J502" s="89" t="s">
        <v>423</v>
      </c>
      <c r="K502" s="89" t="s">
        <v>6355</v>
      </c>
    </row>
    <row r="503" spans="1:11" ht="42.75" x14ac:dyDescent="0.25">
      <c r="A503" s="88">
        <v>108</v>
      </c>
      <c r="B503" s="89" t="s">
        <v>276</v>
      </c>
      <c r="C503" s="88" t="s">
        <v>0</v>
      </c>
      <c r="D503" s="89"/>
      <c r="E503" s="91">
        <v>58091</v>
      </c>
      <c r="F503" s="88">
        <v>4</v>
      </c>
      <c r="G503" s="89" t="s">
        <v>5378</v>
      </c>
      <c r="H503" s="89" t="s">
        <v>5379</v>
      </c>
      <c r="I503" s="89" t="s">
        <v>32</v>
      </c>
      <c r="J503" s="89" t="s">
        <v>1870</v>
      </c>
      <c r="K503" s="89" t="s">
        <v>6356</v>
      </c>
    </row>
    <row r="504" spans="1:11" ht="42.75" x14ac:dyDescent="0.25">
      <c r="A504" s="88">
        <v>108</v>
      </c>
      <c r="B504" s="89" t="s">
        <v>1958</v>
      </c>
      <c r="C504" s="88" t="s">
        <v>0</v>
      </c>
      <c r="D504" s="89"/>
      <c r="E504" s="91">
        <v>30665</v>
      </c>
      <c r="F504" s="88">
        <v>4</v>
      </c>
      <c r="G504" s="89" t="s">
        <v>1959</v>
      </c>
      <c r="H504" s="89" t="s">
        <v>1960</v>
      </c>
      <c r="I504" s="89" t="s">
        <v>94</v>
      </c>
      <c r="J504" s="89" t="s">
        <v>355</v>
      </c>
      <c r="K504" s="89" t="str">
        <f>"00051897"</f>
        <v>00051897</v>
      </c>
    </row>
    <row r="505" spans="1:11" ht="42.75" x14ac:dyDescent="0.25">
      <c r="A505" s="88">
        <v>108</v>
      </c>
      <c r="B505" s="89" t="s">
        <v>1966</v>
      </c>
      <c r="C505" s="88" t="s">
        <v>0</v>
      </c>
      <c r="D505" s="89"/>
      <c r="E505" s="91">
        <v>117190</v>
      </c>
      <c r="F505" s="88">
        <v>4</v>
      </c>
      <c r="G505" s="89" t="s">
        <v>1967</v>
      </c>
      <c r="H505" s="89" t="s">
        <v>1968</v>
      </c>
      <c r="I505" s="89" t="s">
        <v>17</v>
      </c>
      <c r="J505" s="89" t="s">
        <v>266</v>
      </c>
      <c r="K505" s="89" t="str">
        <f>"00048305"</f>
        <v>00048305</v>
      </c>
    </row>
    <row r="506" spans="1:11" ht="57" x14ac:dyDescent="0.25">
      <c r="A506" s="88">
        <v>108</v>
      </c>
      <c r="B506" s="89" t="s">
        <v>1963</v>
      </c>
      <c r="C506" s="88" t="s">
        <v>0</v>
      </c>
      <c r="D506" s="89"/>
      <c r="E506" s="91">
        <v>70000</v>
      </c>
      <c r="F506" s="88">
        <v>4</v>
      </c>
      <c r="G506" s="89" t="s">
        <v>1964</v>
      </c>
      <c r="H506" s="89" t="s">
        <v>1965</v>
      </c>
      <c r="I506" s="89" t="s">
        <v>32</v>
      </c>
      <c r="J506" s="89" t="s">
        <v>33</v>
      </c>
      <c r="K506" s="89" t="str">
        <f>"00049027"</f>
        <v>00049027</v>
      </c>
    </row>
    <row r="507" spans="1:11" ht="71.25" x14ac:dyDescent="0.25">
      <c r="A507" s="88">
        <v>108</v>
      </c>
      <c r="B507" s="89" t="s">
        <v>1961</v>
      </c>
      <c r="C507" s="88" t="s">
        <v>0</v>
      </c>
      <c r="D507" s="89"/>
      <c r="E507" s="91">
        <v>50000</v>
      </c>
      <c r="F507" s="88">
        <v>4</v>
      </c>
      <c r="G507" s="89" t="s">
        <v>1962</v>
      </c>
      <c r="H507" s="89" t="s">
        <v>639</v>
      </c>
      <c r="I507" s="89" t="s">
        <v>32</v>
      </c>
      <c r="J507" s="89" t="s">
        <v>33</v>
      </c>
      <c r="K507" s="89" t="str">
        <f>"00047577"</f>
        <v>00047577</v>
      </c>
    </row>
    <row r="508" spans="1:11" ht="28.5" x14ac:dyDescent="0.25">
      <c r="A508" s="88">
        <v>108</v>
      </c>
      <c r="B508" s="89" t="s">
        <v>12</v>
      </c>
      <c r="C508" s="88" t="s">
        <v>0</v>
      </c>
      <c r="D508" s="94">
        <v>2200000</v>
      </c>
      <c r="E508" s="59"/>
      <c r="F508" s="88">
        <v>4</v>
      </c>
      <c r="G508" s="89" t="s">
        <v>13</v>
      </c>
      <c r="H508" s="89"/>
      <c r="I508" s="89" t="s">
        <v>14</v>
      </c>
      <c r="J508" s="89"/>
      <c r="K508" s="89" t="str">
        <f>"　"</f>
        <v>　</v>
      </c>
    </row>
    <row r="509" spans="1:11" ht="28.5" x14ac:dyDescent="0.25">
      <c r="A509" s="88">
        <v>108</v>
      </c>
      <c r="B509" s="89" t="s">
        <v>26</v>
      </c>
      <c r="C509" s="88" t="s">
        <v>0</v>
      </c>
      <c r="D509" s="94">
        <v>31550</v>
      </c>
      <c r="E509" s="90"/>
      <c r="F509" s="88">
        <v>4</v>
      </c>
      <c r="G509" s="89" t="s">
        <v>29</v>
      </c>
      <c r="H509" s="89"/>
      <c r="I509" s="89" t="s">
        <v>14</v>
      </c>
      <c r="J509" s="89"/>
      <c r="K509" s="89" t="str">
        <f>"　"</f>
        <v>　</v>
      </c>
    </row>
    <row r="510" spans="1:11" ht="99.75" x14ac:dyDescent="0.25">
      <c r="A510" s="88">
        <v>108</v>
      </c>
      <c r="B510" s="89" t="s">
        <v>26</v>
      </c>
      <c r="C510" s="88" t="s">
        <v>0</v>
      </c>
      <c r="D510" s="89"/>
      <c r="E510" s="90">
        <v>31550</v>
      </c>
      <c r="F510" s="88">
        <v>4</v>
      </c>
      <c r="G510" s="89" t="s">
        <v>1447</v>
      </c>
      <c r="H510" s="89" t="s">
        <v>1448</v>
      </c>
      <c r="I510" s="89" t="s">
        <v>746</v>
      </c>
      <c r="J510" s="89" t="s">
        <v>747</v>
      </c>
      <c r="K510" s="43" t="s">
        <v>5746</v>
      </c>
    </row>
    <row r="511" spans="1:11" ht="28.5" x14ac:dyDescent="0.25">
      <c r="A511" s="88">
        <v>108</v>
      </c>
      <c r="B511" s="89" t="s">
        <v>12</v>
      </c>
      <c r="C511" s="88" t="s">
        <v>0</v>
      </c>
      <c r="D511" s="91">
        <v>75400000</v>
      </c>
      <c r="E511" s="59"/>
      <c r="F511" s="88">
        <v>4</v>
      </c>
      <c r="G511" s="89" t="s">
        <v>52</v>
      </c>
      <c r="H511" s="89"/>
      <c r="I511" s="89" t="s">
        <v>53</v>
      </c>
      <c r="J511" s="89"/>
      <c r="K511" s="89" t="str">
        <f>"　"</f>
        <v>　</v>
      </c>
    </row>
    <row r="512" spans="1:11" ht="57" x14ac:dyDescent="0.25">
      <c r="A512" s="83">
        <v>107</v>
      </c>
      <c r="B512" s="84" t="s">
        <v>5388</v>
      </c>
      <c r="C512" s="83" t="s">
        <v>0</v>
      </c>
      <c r="D512" s="84"/>
      <c r="E512" s="51">
        <v>50000</v>
      </c>
      <c r="F512" s="83">
        <v>3</v>
      </c>
      <c r="G512" s="84" t="s">
        <v>5389</v>
      </c>
      <c r="H512" s="84" t="s">
        <v>5390</v>
      </c>
      <c r="I512" s="84" t="s">
        <v>32</v>
      </c>
      <c r="J512" s="84" t="s">
        <v>118</v>
      </c>
      <c r="K512" s="31" t="s">
        <v>5391</v>
      </c>
    </row>
    <row r="513" spans="1:11" ht="57" x14ac:dyDescent="0.25">
      <c r="A513" s="83">
        <v>107</v>
      </c>
      <c r="B513" s="84" t="s">
        <v>5392</v>
      </c>
      <c r="C513" s="83" t="s">
        <v>0</v>
      </c>
      <c r="D513" s="84"/>
      <c r="E513" s="99">
        <v>6000</v>
      </c>
      <c r="F513" s="83">
        <v>4</v>
      </c>
      <c r="G513" s="84" t="s">
        <v>5392</v>
      </c>
      <c r="H513" s="84" t="s">
        <v>5393</v>
      </c>
      <c r="I513" s="84" t="s">
        <v>32</v>
      </c>
      <c r="J513" s="84" t="s">
        <v>33</v>
      </c>
      <c r="K513" s="31" t="s">
        <v>5696</v>
      </c>
    </row>
    <row r="514" spans="1:11" ht="85.5" x14ac:dyDescent="0.25">
      <c r="A514" s="88">
        <v>108</v>
      </c>
      <c r="B514" s="89" t="s">
        <v>455</v>
      </c>
      <c r="C514" s="88" t="s">
        <v>0</v>
      </c>
      <c r="D514" s="89"/>
      <c r="E514" s="90">
        <v>7410</v>
      </c>
      <c r="F514" s="88">
        <v>4</v>
      </c>
      <c r="G514" s="89" t="s">
        <v>456</v>
      </c>
      <c r="H514" s="89" t="s">
        <v>457</v>
      </c>
      <c r="I514" s="89" t="s">
        <v>94</v>
      </c>
      <c r="J514" s="89" t="s">
        <v>355</v>
      </c>
      <c r="K514" s="89" t="str">
        <f>"00047208"</f>
        <v>00047208</v>
      </c>
    </row>
    <row r="515" spans="1:11" ht="57" x14ac:dyDescent="0.25">
      <c r="A515" s="88">
        <v>108</v>
      </c>
      <c r="B515" s="89" t="s">
        <v>465</v>
      </c>
      <c r="C515" s="88" t="s">
        <v>0</v>
      </c>
      <c r="D515" s="89"/>
      <c r="E515" s="90">
        <v>90000</v>
      </c>
      <c r="F515" s="88">
        <v>4</v>
      </c>
      <c r="G515" s="89" t="s">
        <v>459</v>
      </c>
      <c r="H515" s="89" t="s">
        <v>466</v>
      </c>
      <c r="I515" s="89" t="s">
        <v>32</v>
      </c>
      <c r="J515" s="89" t="s">
        <v>44</v>
      </c>
      <c r="K515" s="89" t="str">
        <f>"00047861"</f>
        <v>00047861</v>
      </c>
    </row>
    <row r="516" spans="1:11" ht="57" x14ac:dyDescent="0.25">
      <c r="A516" s="88">
        <v>108</v>
      </c>
      <c r="B516" s="89" t="s">
        <v>452</v>
      </c>
      <c r="C516" s="88" t="s">
        <v>0</v>
      </c>
      <c r="D516" s="89"/>
      <c r="E516" s="90">
        <v>65561</v>
      </c>
      <c r="F516" s="88">
        <v>4</v>
      </c>
      <c r="G516" s="89" t="s">
        <v>453</v>
      </c>
      <c r="H516" s="89" t="s">
        <v>454</v>
      </c>
      <c r="I516" s="89" t="s">
        <v>66</v>
      </c>
      <c r="J516" s="89" t="s">
        <v>332</v>
      </c>
      <c r="K516" s="89" t="str">
        <f>"00048012"</f>
        <v>00048012</v>
      </c>
    </row>
    <row r="517" spans="1:11" ht="71.25" x14ac:dyDescent="0.25">
      <c r="A517" s="88">
        <v>108</v>
      </c>
      <c r="B517" s="89" t="s">
        <v>458</v>
      </c>
      <c r="C517" s="88" t="s">
        <v>0</v>
      </c>
      <c r="D517" s="89"/>
      <c r="E517" s="90">
        <v>100000</v>
      </c>
      <c r="F517" s="88">
        <v>4</v>
      </c>
      <c r="G517" s="89" t="s">
        <v>459</v>
      </c>
      <c r="H517" s="89" t="s">
        <v>460</v>
      </c>
      <c r="I517" s="89" t="s">
        <v>32</v>
      </c>
      <c r="J517" s="89" t="s">
        <v>44</v>
      </c>
      <c r="K517" s="89" t="str">
        <f>"00047608"</f>
        <v>00047608</v>
      </c>
    </row>
    <row r="518" spans="1:11" ht="85.5" x14ac:dyDescent="0.25">
      <c r="A518" s="88">
        <v>108</v>
      </c>
      <c r="B518" s="89" t="s">
        <v>470</v>
      </c>
      <c r="C518" s="88" t="s">
        <v>0</v>
      </c>
      <c r="D518" s="89"/>
      <c r="E518" s="90">
        <v>100000</v>
      </c>
      <c r="F518" s="88">
        <v>4</v>
      </c>
      <c r="G518" s="89" t="s">
        <v>471</v>
      </c>
      <c r="H518" s="89" t="s">
        <v>472</v>
      </c>
      <c r="I518" s="89" t="s">
        <v>32</v>
      </c>
      <c r="J518" s="89" t="s">
        <v>473</v>
      </c>
      <c r="K518" s="89" t="str">
        <f>"00047939"</f>
        <v>00047939</v>
      </c>
    </row>
    <row r="519" spans="1:11" ht="42.75" x14ac:dyDescent="0.25">
      <c r="A519" s="88">
        <v>108</v>
      </c>
      <c r="B519" s="89" t="s">
        <v>467</v>
      </c>
      <c r="C519" s="88" t="s">
        <v>0</v>
      </c>
      <c r="D519" s="89"/>
      <c r="E519" s="90">
        <v>100000</v>
      </c>
      <c r="F519" s="88">
        <v>4</v>
      </c>
      <c r="G519" s="89" t="s">
        <v>468</v>
      </c>
      <c r="H519" s="89" t="s">
        <v>469</v>
      </c>
      <c r="I519" s="89" t="s">
        <v>32</v>
      </c>
      <c r="J519" s="89" t="s">
        <v>44</v>
      </c>
      <c r="K519" s="89" t="str">
        <f>"00047680"</f>
        <v>00047680</v>
      </c>
    </row>
    <row r="520" spans="1:11" ht="42.75" x14ac:dyDescent="0.25">
      <c r="A520" s="88">
        <v>108</v>
      </c>
      <c r="B520" s="89" t="s">
        <v>461</v>
      </c>
      <c r="C520" s="88" t="s">
        <v>0</v>
      </c>
      <c r="D520" s="89"/>
      <c r="E520" s="90">
        <v>79112</v>
      </c>
      <c r="F520" s="88">
        <v>4</v>
      </c>
      <c r="G520" s="89" t="s">
        <v>462</v>
      </c>
      <c r="H520" s="89" t="s">
        <v>463</v>
      </c>
      <c r="I520" s="89" t="s">
        <v>32</v>
      </c>
      <c r="J520" s="89" t="s">
        <v>464</v>
      </c>
      <c r="K520" s="89" t="str">
        <f>"00048477"</f>
        <v>00048477</v>
      </c>
    </row>
    <row r="521" spans="1:11" ht="85.5" x14ac:dyDescent="0.25">
      <c r="A521" s="88">
        <v>108</v>
      </c>
      <c r="B521" s="89" t="s">
        <v>2393</v>
      </c>
      <c r="C521" s="88" t="s">
        <v>0</v>
      </c>
      <c r="D521" s="89"/>
      <c r="E521" s="90">
        <v>75432</v>
      </c>
      <c r="F521" s="88">
        <v>4</v>
      </c>
      <c r="G521" s="89" t="s">
        <v>2394</v>
      </c>
      <c r="H521" s="89" t="s">
        <v>2395</v>
      </c>
      <c r="I521" s="89" t="s">
        <v>66</v>
      </c>
      <c r="J521" s="89" t="s">
        <v>2396</v>
      </c>
      <c r="K521" s="89" t="str">
        <f>"00047429"</f>
        <v>00047429</v>
      </c>
    </row>
    <row r="522" spans="1:11" ht="42.75" x14ac:dyDescent="0.25">
      <c r="A522" s="88">
        <v>108</v>
      </c>
      <c r="B522" s="89" t="s">
        <v>2404</v>
      </c>
      <c r="C522" s="88" t="s">
        <v>0</v>
      </c>
      <c r="D522" s="89"/>
      <c r="E522" s="90">
        <v>78625</v>
      </c>
      <c r="F522" s="88">
        <v>4</v>
      </c>
      <c r="G522" s="89" t="s">
        <v>2405</v>
      </c>
      <c r="H522" s="89" t="s">
        <v>2406</v>
      </c>
      <c r="I522" s="89" t="s">
        <v>242</v>
      </c>
      <c r="J522" s="89" t="s">
        <v>1919</v>
      </c>
      <c r="K522" s="89" t="str">
        <f>"00047033"</f>
        <v>00047033</v>
      </c>
    </row>
    <row r="523" spans="1:11" ht="57" x14ac:dyDescent="0.25">
      <c r="A523" s="88">
        <v>108</v>
      </c>
      <c r="B523" s="89" t="s">
        <v>2369</v>
      </c>
      <c r="C523" s="88" t="s">
        <v>0</v>
      </c>
      <c r="D523" s="89"/>
      <c r="E523" s="90">
        <v>130405</v>
      </c>
      <c r="F523" s="88">
        <v>4</v>
      </c>
      <c r="G523" s="89" t="s">
        <v>2398</v>
      </c>
      <c r="H523" s="89" t="s">
        <v>2399</v>
      </c>
      <c r="I523" s="89" t="s">
        <v>32</v>
      </c>
      <c r="J523" s="89" t="s">
        <v>2400</v>
      </c>
      <c r="K523" s="89" t="str">
        <f>"00046950"</f>
        <v>00046950</v>
      </c>
    </row>
    <row r="524" spans="1:11" ht="42.75" x14ac:dyDescent="0.25">
      <c r="A524" s="88">
        <v>108</v>
      </c>
      <c r="B524" s="89" t="s">
        <v>461</v>
      </c>
      <c r="C524" s="88" t="s">
        <v>0</v>
      </c>
      <c r="D524" s="89"/>
      <c r="E524" s="90">
        <v>26019</v>
      </c>
      <c r="F524" s="88">
        <v>4</v>
      </c>
      <c r="G524" s="89" t="s">
        <v>2407</v>
      </c>
      <c r="H524" s="89" t="s">
        <v>2408</v>
      </c>
      <c r="I524" s="89" t="s">
        <v>66</v>
      </c>
      <c r="J524" s="89" t="s">
        <v>1311</v>
      </c>
      <c r="K524" s="89" t="str">
        <f>"00047204"</f>
        <v>00047204</v>
      </c>
    </row>
    <row r="525" spans="1:11" ht="57" x14ac:dyDescent="0.25">
      <c r="A525" s="88">
        <v>108</v>
      </c>
      <c r="B525" s="89" t="s">
        <v>2390</v>
      </c>
      <c r="C525" s="88" t="s">
        <v>0</v>
      </c>
      <c r="D525" s="89"/>
      <c r="E525" s="90">
        <v>84854</v>
      </c>
      <c r="F525" s="88">
        <v>4</v>
      </c>
      <c r="G525" s="89" t="s">
        <v>2391</v>
      </c>
      <c r="H525" s="89" t="s">
        <v>2392</v>
      </c>
      <c r="I525" s="89" t="s">
        <v>32</v>
      </c>
      <c r="J525" s="89" t="s">
        <v>550</v>
      </c>
      <c r="K525" s="89" t="str">
        <f>"00047378"</f>
        <v>00047378</v>
      </c>
    </row>
    <row r="526" spans="1:11" ht="42.75" x14ac:dyDescent="0.25">
      <c r="A526" s="88">
        <v>108</v>
      </c>
      <c r="B526" s="89" t="s">
        <v>2397</v>
      </c>
      <c r="C526" s="88" t="s">
        <v>0</v>
      </c>
      <c r="D526" s="89"/>
      <c r="E526" s="90">
        <v>90283</v>
      </c>
      <c r="F526" s="88">
        <v>4</v>
      </c>
      <c r="G526" s="89" t="s">
        <v>2391</v>
      </c>
      <c r="H526" s="89" t="s">
        <v>2392</v>
      </c>
      <c r="I526" s="89" t="s">
        <v>32</v>
      </c>
      <c r="J526" s="89" t="s">
        <v>550</v>
      </c>
      <c r="K526" s="89" t="str">
        <f>"00047379"</f>
        <v>00047379</v>
      </c>
    </row>
    <row r="527" spans="1:11" ht="57" x14ac:dyDescent="0.25">
      <c r="A527" s="88">
        <v>108</v>
      </c>
      <c r="B527" s="89" t="s">
        <v>2401</v>
      </c>
      <c r="C527" s="88" t="s">
        <v>0</v>
      </c>
      <c r="D527" s="89"/>
      <c r="E527" s="90">
        <v>86461</v>
      </c>
      <c r="F527" s="88">
        <v>4</v>
      </c>
      <c r="G527" s="89" t="s">
        <v>2402</v>
      </c>
      <c r="H527" s="89" t="s">
        <v>2403</v>
      </c>
      <c r="I527" s="89" t="s">
        <v>763</v>
      </c>
      <c r="J527" s="89" t="s">
        <v>1770</v>
      </c>
      <c r="K527" s="89" t="str">
        <f>"00047168"</f>
        <v>00047168</v>
      </c>
    </row>
    <row r="528" spans="1:11" ht="71.25" x14ac:dyDescent="0.25">
      <c r="A528" s="88">
        <v>108</v>
      </c>
      <c r="B528" s="89" t="s">
        <v>2377</v>
      </c>
      <c r="C528" s="88" t="s">
        <v>0</v>
      </c>
      <c r="D528" s="89"/>
      <c r="E528" s="90">
        <v>140966</v>
      </c>
      <c r="F528" s="88">
        <v>4</v>
      </c>
      <c r="G528" s="89" t="s">
        <v>2378</v>
      </c>
      <c r="H528" s="89" t="s">
        <v>2379</v>
      </c>
      <c r="I528" s="89" t="s">
        <v>32</v>
      </c>
      <c r="J528" s="89" t="s">
        <v>423</v>
      </c>
      <c r="K528" s="89" t="str">
        <f>"00049513"</f>
        <v>00049513</v>
      </c>
    </row>
    <row r="529" spans="1:11" ht="85.5" x14ac:dyDescent="0.25">
      <c r="A529" s="88">
        <v>108</v>
      </c>
      <c r="B529" s="89" t="s">
        <v>2380</v>
      </c>
      <c r="C529" s="88" t="s">
        <v>0</v>
      </c>
      <c r="D529" s="89"/>
      <c r="E529" s="90">
        <v>80000</v>
      </c>
      <c r="F529" s="88">
        <v>4</v>
      </c>
      <c r="G529" s="89" t="s">
        <v>2381</v>
      </c>
      <c r="H529" s="89" t="s">
        <v>2382</v>
      </c>
      <c r="I529" s="89" t="s">
        <v>32</v>
      </c>
      <c r="J529" s="89" t="s">
        <v>2383</v>
      </c>
      <c r="K529" s="89" t="str">
        <f>"00049339"</f>
        <v>00049339</v>
      </c>
    </row>
    <row r="530" spans="1:11" ht="57" x14ac:dyDescent="0.25">
      <c r="A530" s="88">
        <v>108</v>
      </c>
      <c r="B530" s="89" t="s">
        <v>2384</v>
      </c>
      <c r="C530" s="88" t="s">
        <v>0</v>
      </c>
      <c r="D530" s="89"/>
      <c r="E530" s="90">
        <v>105951</v>
      </c>
      <c r="F530" s="88">
        <v>4</v>
      </c>
      <c r="G530" s="89" t="s">
        <v>2385</v>
      </c>
      <c r="H530" s="89" t="s">
        <v>2386</v>
      </c>
      <c r="I530" s="89" t="s">
        <v>32</v>
      </c>
      <c r="J530" s="89" t="s">
        <v>262</v>
      </c>
      <c r="K530" s="89" t="str">
        <f>"00048679"</f>
        <v>00048679</v>
      </c>
    </row>
    <row r="531" spans="1:11" ht="42.75" x14ac:dyDescent="0.25">
      <c r="A531" s="88">
        <v>108</v>
      </c>
      <c r="B531" s="89" t="s">
        <v>2387</v>
      </c>
      <c r="C531" s="88" t="s">
        <v>0</v>
      </c>
      <c r="D531" s="89"/>
      <c r="E531" s="90">
        <v>91988</v>
      </c>
      <c r="F531" s="88">
        <v>4</v>
      </c>
      <c r="G531" s="89" t="s">
        <v>2388</v>
      </c>
      <c r="H531" s="89" t="s">
        <v>2389</v>
      </c>
      <c r="I531" s="89" t="s">
        <v>2231</v>
      </c>
      <c r="J531" s="89" t="s">
        <v>2376</v>
      </c>
      <c r="K531" s="89" t="str">
        <f>"00049442"</f>
        <v>00049442</v>
      </c>
    </row>
    <row r="532" spans="1:11" ht="71.25" x14ac:dyDescent="0.25">
      <c r="A532" s="88">
        <v>108</v>
      </c>
      <c r="B532" s="89" t="s">
        <v>2365</v>
      </c>
      <c r="C532" s="88" t="s">
        <v>0</v>
      </c>
      <c r="D532" s="89"/>
      <c r="E532" s="90">
        <v>100000</v>
      </c>
      <c r="F532" s="88">
        <v>4</v>
      </c>
      <c r="G532" s="89" t="s">
        <v>2366</v>
      </c>
      <c r="H532" s="89" t="s">
        <v>2367</v>
      </c>
      <c r="I532" s="89" t="s">
        <v>32</v>
      </c>
      <c r="J532" s="89" t="s">
        <v>2368</v>
      </c>
      <c r="K532" s="89" t="str">
        <f>"00048467"</f>
        <v>00048467</v>
      </c>
    </row>
    <row r="533" spans="1:11" ht="42.75" x14ac:dyDescent="0.25">
      <c r="A533" s="88">
        <v>108</v>
      </c>
      <c r="B533" s="89" t="s">
        <v>2373</v>
      </c>
      <c r="C533" s="88" t="s">
        <v>0</v>
      </c>
      <c r="D533" s="89"/>
      <c r="E533" s="90">
        <v>119091</v>
      </c>
      <c r="F533" s="88">
        <v>4</v>
      </c>
      <c r="G533" s="89" t="s">
        <v>2374</v>
      </c>
      <c r="H533" s="89" t="s">
        <v>2375</v>
      </c>
      <c r="I533" s="89" t="s">
        <v>2231</v>
      </c>
      <c r="J533" s="89" t="s">
        <v>2376</v>
      </c>
      <c r="K533" s="89" t="str">
        <f>"00049440"</f>
        <v>00049440</v>
      </c>
    </row>
    <row r="534" spans="1:11" ht="42.75" x14ac:dyDescent="0.25">
      <c r="A534" s="88">
        <v>108</v>
      </c>
      <c r="B534" s="89" t="s">
        <v>2369</v>
      </c>
      <c r="C534" s="88" t="s">
        <v>0</v>
      </c>
      <c r="D534" s="89"/>
      <c r="E534" s="90">
        <v>119595</v>
      </c>
      <c r="F534" s="88">
        <v>4</v>
      </c>
      <c r="G534" s="89" t="s">
        <v>2370</v>
      </c>
      <c r="H534" s="89" t="s">
        <v>2371</v>
      </c>
      <c r="I534" s="89" t="s">
        <v>32</v>
      </c>
      <c r="J534" s="89" t="s">
        <v>2372</v>
      </c>
      <c r="K534" s="89" t="str">
        <f>"00048977"</f>
        <v>00048977</v>
      </c>
    </row>
    <row r="535" spans="1:11" ht="57" x14ac:dyDescent="0.25">
      <c r="A535" s="88">
        <v>108</v>
      </c>
      <c r="B535" s="89" t="s">
        <v>2363</v>
      </c>
      <c r="C535" s="88" t="s">
        <v>0</v>
      </c>
      <c r="D535" s="89"/>
      <c r="E535" s="90">
        <v>71568</v>
      </c>
      <c r="F535" s="88">
        <v>4</v>
      </c>
      <c r="G535" s="89" t="s">
        <v>2364</v>
      </c>
      <c r="H535" s="89" t="s">
        <v>2150</v>
      </c>
      <c r="I535" s="89" t="s">
        <v>80</v>
      </c>
      <c r="J535" s="89" t="s">
        <v>80</v>
      </c>
      <c r="K535" s="89" t="str">
        <f>"00048897"</f>
        <v>00048897</v>
      </c>
    </row>
    <row r="536" spans="1:11" ht="42.75" x14ac:dyDescent="0.25">
      <c r="A536" s="88">
        <v>108</v>
      </c>
      <c r="B536" s="89" t="s">
        <v>2336</v>
      </c>
      <c r="C536" s="88" t="s">
        <v>0</v>
      </c>
      <c r="D536" s="89"/>
      <c r="E536" s="90">
        <v>39157</v>
      </c>
      <c r="F536" s="88">
        <v>4</v>
      </c>
      <c r="G536" s="89" t="s">
        <v>2331</v>
      </c>
      <c r="H536" s="89" t="s">
        <v>2332</v>
      </c>
      <c r="I536" s="89" t="s">
        <v>32</v>
      </c>
      <c r="J536" s="89" t="s">
        <v>2313</v>
      </c>
      <c r="K536" s="89" t="str">
        <f>"00051616"</f>
        <v>00051616</v>
      </c>
    </row>
    <row r="537" spans="1:11" ht="57" x14ac:dyDescent="0.25">
      <c r="A537" s="88">
        <v>108</v>
      </c>
      <c r="B537" s="89" t="s">
        <v>2360</v>
      </c>
      <c r="C537" s="88" t="s">
        <v>0</v>
      </c>
      <c r="D537" s="89"/>
      <c r="E537" s="90">
        <v>127034</v>
      </c>
      <c r="F537" s="88">
        <v>4</v>
      </c>
      <c r="G537" s="89" t="s">
        <v>2361</v>
      </c>
      <c r="H537" s="89" t="s">
        <v>2362</v>
      </c>
      <c r="I537" s="89" t="s">
        <v>32</v>
      </c>
      <c r="J537" s="89" t="s">
        <v>84</v>
      </c>
      <c r="K537" s="89" t="str">
        <f>"00050256"</f>
        <v>00050256</v>
      </c>
    </row>
    <row r="538" spans="1:11" ht="57" x14ac:dyDescent="0.25">
      <c r="A538" s="88">
        <v>108</v>
      </c>
      <c r="B538" s="89" t="s">
        <v>2357</v>
      </c>
      <c r="C538" s="88" t="s">
        <v>0</v>
      </c>
      <c r="D538" s="89"/>
      <c r="E538" s="90">
        <v>87828</v>
      </c>
      <c r="F538" s="88">
        <v>4</v>
      </c>
      <c r="G538" s="89" t="s">
        <v>2358</v>
      </c>
      <c r="H538" s="89" t="s">
        <v>2359</v>
      </c>
      <c r="I538" s="89" t="s">
        <v>135</v>
      </c>
      <c r="J538" s="89" t="s">
        <v>136</v>
      </c>
      <c r="K538" s="89" t="str">
        <f>"00051076"</f>
        <v>00051076</v>
      </c>
    </row>
    <row r="539" spans="1:11" ht="71.25" x14ac:dyDescent="0.25">
      <c r="A539" s="88">
        <v>108</v>
      </c>
      <c r="B539" s="89" t="s">
        <v>2409</v>
      </c>
      <c r="C539" s="88" t="s">
        <v>0</v>
      </c>
      <c r="D539" s="89"/>
      <c r="E539" s="90">
        <v>47229</v>
      </c>
      <c r="F539" s="88">
        <v>4</v>
      </c>
      <c r="G539" s="89" t="s">
        <v>2410</v>
      </c>
      <c r="H539" s="89" t="s">
        <v>2411</v>
      </c>
      <c r="I539" s="89" t="s">
        <v>242</v>
      </c>
      <c r="J539" s="89" t="s">
        <v>243</v>
      </c>
      <c r="K539" s="89" t="str">
        <f>"00050540"</f>
        <v>00050540</v>
      </c>
    </row>
    <row r="540" spans="1:11" ht="57" x14ac:dyDescent="0.25">
      <c r="A540" s="88">
        <v>108</v>
      </c>
      <c r="B540" s="89" t="s">
        <v>2333</v>
      </c>
      <c r="C540" s="88" t="s">
        <v>0</v>
      </c>
      <c r="D540" s="89"/>
      <c r="E540" s="90">
        <v>106799</v>
      </c>
      <c r="F540" s="88">
        <v>4</v>
      </c>
      <c r="G540" s="89" t="s">
        <v>2334</v>
      </c>
      <c r="H540" s="89" t="s">
        <v>2335</v>
      </c>
      <c r="I540" s="89" t="s">
        <v>209</v>
      </c>
      <c r="J540" s="89" t="s">
        <v>210</v>
      </c>
      <c r="K540" s="89" t="str">
        <f>"00051999"</f>
        <v>00051999</v>
      </c>
    </row>
    <row r="541" spans="1:11" ht="85.5" x14ac:dyDescent="0.25">
      <c r="A541" s="88">
        <v>108</v>
      </c>
      <c r="B541" s="89" t="s">
        <v>2337</v>
      </c>
      <c r="C541" s="88" t="s">
        <v>0</v>
      </c>
      <c r="D541" s="89"/>
      <c r="E541" s="90">
        <v>52544</v>
      </c>
      <c r="F541" s="88">
        <v>4</v>
      </c>
      <c r="G541" s="89" t="s">
        <v>2338</v>
      </c>
      <c r="H541" s="89" t="s">
        <v>2339</v>
      </c>
      <c r="I541" s="89" t="s">
        <v>66</v>
      </c>
      <c r="J541" s="89" t="s">
        <v>67</v>
      </c>
      <c r="K541" s="89" t="str">
        <f>"00051709"</f>
        <v>00051709</v>
      </c>
    </row>
    <row r="542" spans="1:11" ht="42.75" x14ac:dyDescent="0.25">
      <c r="A542" s="88">
        <v>108</v>
      </c>
      <c r="B542" s="89" t="s">
        <v>2330</v>
      </c>
      <c r="C542" s="88" t="s">
        <v>0</v>
      </c>
      <c r="D542" s="89"/>
      <c r="E542" s="90">
        <v>33209</v>
      </c>
      <c r="F542" s="88">
        <v>4</v>
      </c>
      <c r="G542" s="89" t="s">
        <v>2331</v>
      </c>
      <c r="H542" s="89" t="s">
        <v>2332</v>
      </c>
      <c r="I542" s="89" t="s">
        <v>32</v>
      </c>
      <c r="J542" s="89" t="s">
        <v>2313</v>
      </c>
      <c r="K542" s="89" t="str">
        <f>"00051616"</f>
        <v>00051616</v>
      </c>
    </row>
    <row r="543" spans="1:11" ht="71.25" x14ac:dyDescent="0.25">
      <c r="A543" s="88">
        <v>108</v>
      </c>
      <c r="B543" s="89" t="s">
        <v>2340</v>
      </c>
      <c r="C543" s="88" t="s">
        <v>0</v>
      </c>
      <c r="D543" s="89"/>
      <c r="E543" s="90">
        <v>90000</v>
      </c>
      <c r="F543" s="88">
        <v>4</v>
      </c>
      <c r="G543" s="89" t="s">
        <v>2341</v>
      </c>
      <c r="H543" s="89" t="s">
        <v>2342</v>
      </c>
      <c r="I543" s="89" t="s">
        <v>32</v>
      </c>
      <c r="J543" s="89" t="s">
        <v>84</v>
      </c>
      <c r="K543" s="89" t="str">
        <f>"00052031"</f>
        <v>00052031</v>
      </c>
    </row>
    <row r="544" spans="1:11" ht="42.75" x14ac:dyDescent="0.25">
      <c r="A544" s="88">
        <v>108</v>
      </c>
      <c r="B544" s="89" t="s">
        <v>2343</v>
      </c>
      <c r="C544" s="88" t="s">
        <v>0</v>
      </c>
      <c r="D544" s="89"/>
      <c r="E544" s="90">
        <v>97180</v>
      </c>
      <c r="F544" s="88">
        <v>4</v>
      </c>
      <c r="G544" s="89" t="s">
        <v>2344</v>
      </c>
      <c r="H544" s="89" t="s">
        <v>2345</v>
      </c>
      <c r="I544" s="89" t="s">
        <v>2346</v>
      </c>
      <c r="J544" s="89" t="s">
        <v>2347</v>
      </c>
      <c r="K544" s="89" t="str">
        <f>"00051361"</f>
        <v>00051361</v>
      </c>
    </row>
    <row r="545" spans="1:11" ht="42.75" x14ac:dyDescent="0.25">
      <c r="A545" s="88">
        <v>108</v>
      </c>
      <c r="B545" s="89" t="s">
        <v>2351</v>
      </c>
      <c r="C545" s="88" t="s">
        <v>0</v>
      </c>
      <c r="D545" s="89"/>
      <c r="E545" s="90">
        <v>41352</v>
      </c>
      <c r="F545" s="88">
        <v>4</v>
      </c>
      <c r="G545" s="89" t="s">
        <v>2352</v>
      </c>
      <c r="H545" s="89" t="s">
        <v>2353</v>
      </c>
      <c r="I545" s="89" t="s">
        <v>242</v>
      </c>
      <c r="J545" s="89" t="s">
        <v>900</v>
      </c>
      <c r="K545" s="89" t="str">
        <f>"00052037"</f>
        <v>00052037</v>
      </c>
    </row>
    <row r="546" spans="1:11" ht="57" x14ac:dyDescent="0.25">
      <c r="A546" s="88">
        <v>108</v>
      </c>
      <c r="B546" s="89" t="s">
        <v>2354</v>
      </c>
      <c r="C546" s="88" t="s">
        <v>0</v>
      </c>
      <c r="D546" s="89"/>
      <c r="E546" s="90">
        <v>76956</v>
      </c>
      <c r="F546" s="88">
        <v>4</v>
      </c>
      <c r="G546" s="89" t="s">
        <v>2355</v>
      </c>
      <c r="H546" s="89" t="s">
        <v>2356</v>
      </c>
      <c r="I546" s="89" t="s">
        <v>32</v>
      </c>
      <c r="J546" s="89" t="s">
        <v>33</v>
      </c>
      <c r="K546" s="89" t="str">
        <f>"00048472"</f>
        <v>00048472</v>
      </c>
    </row>
    <row r="547" spans="1:11" ht="57" x14ac:dyDescent="0.25">
      <c r="A547" s="88">
        <v>108</v>
      </c>
      <c r="B547" s="89" t="s">
        <v>2348</v>
      </c>
      <c r="C547" s="88" t="s">
        <v>0</v>
      </c>
      <c r="D547" s="89"/>
      <c r="E547" s="90">
        <v>114182</v>
      </c>
      <c r="F547" s="88">
        <v>4</v>
      </c>
      <c r="G547" s="89" t="s">
        <v>2349</v>
      </c>
      <c r="H547" s="89" t="s">
        <v>2350</v>
      </c>
      <c r="I547" s="89" t="s">
        <v>32</v>
      </c>
      <c r="J547" s="89" t="s">
        <v>742</v>
      </c>
      <c r="K547" s="89" t="str">
        <f>"00051458"</f>
        <v>00051458</v>
      </c>
    </row>
    <row r="548" spans="1:11" ht="42.75" x14ac:dyDescent="0.25">
      <c r="A548" s="88">
        <v>108</v>
      </c>
      <c r="B548" s="89" t="s">
        <v>2415</v>
      </c>
      <c r="C548" s="88" t="s">
        <v>0</v>
      </c>
      <c r="D548" s="89"/>
      <c r="E548" s="90">
        <v>83114</v>
      </c>
      <c r="F548" s="88">
        <v>4</v>
      </c>
      <c r="G548" s="89" t="s">
        <v>2416</v>
      </c>
      <c r="H548" s="89" t="s">
        <v>2417</v>
      </c>
      <c r="I548" s="89" t="s">
        <v>32</v>
      </c>
      <c r="J548" s="89" t="s">
        <v>742</v>
      </c>
      <c r="K548" s="89" t="str">
        <f>"00051998"</f>
        <v>00051998</v>
      </c>
    </row>
    <row r="549" spans="1:11" ht="57" x14ac:dyDescent="0.25">
      <c r="A549" s="88">
        <v>108</v>
      </c>
      <c r="B549" s="89" t="s">
        <v>2412</v>
      </c>
      <c r="C549" s="88" t="s">
        <v>0</v>
      </c>
      <c r="D549" s="89"/>
      <c r="E549" s="90">
        <v>61382</v>
      </c>
      <c r="F549" s="88">
        <v>4</v>
      </c>
      <c r="G549" s="89" t="s">
        <v>2413</v>
      </c>
      <c r="H549" s="89" t="s">
        <v>2414</v>
      </c>
      <c r="I549" s="89" t="s">
        <v>242</v>
      </c>
      <c r="J549" s="89" t="s">
        <v>2236</v>
      </c>
      <c r="K549" s="89" t="str">
        <f>"00051685"</f>
        <v>00051685</v>
      </c>
    </row>
    <row r="550" spans="1:11" ht="57" x14ac:dyDescent="0.25">
      <c r="A550" s="88">
        <v>108</v>
      </c>
      <c r="B550" s="89" t="s">
        <v>2328</v>
      </c>
      <c r="C550" s="88" t="s">
        <v>0</v>
      </c>
      <c r="D550" s="89"/>
      <c r="E550" s="90">
        <v>93984</v>
      </c>
      <c r="F550" s="88">
        <v>4</v>
      </c>
      <c r="G550" s="89" t="s">
        <v>2326</v>
      </c>
      <c r="H550" s="89" t="s">
        <v>2329</v>
      </c>
      <c r="I550" s="89" t="s">
        <v>32</v>
      </c>
      <c r="J550" s="89" t="s">
        <v>57</v>
      </c>
      <c r="K550" s="89" t="str">
        <f>"00052698"</f>
        <v>00052698</v>
      </c>
    </row>
    <row r="551" spans="1:11" ht="42.75" x14ac:dyDescent="0.25">
      <c r="A551" s="88">
        <v>108</v>
      </c>
      <c r="B551" s="89" t="s">
        <v>2343</v>
      </c>
      <c r="C551" s="88" t="s">
        <v>0</v>
      </c>
      <c r="D551" s="89"/>
      <c r="E551" s="90">
        <v>48233</v>
      </c>
      <c r="F551" s="88">
        <v>4</v>
      </c>
      <c r="G551" s="89" t="s">
        <v>2420</v>
      </c>
      <c r="H551" s="89" t="s">
        <v>2421</v>
      </c>
      <c r="I551" s="89" t="s">
        <v>66</v>
      </c>
      <c r="J551" s="89" t="s">
        <v>99</v>
      </c>
      <c r="K551" s="89" t="str">
        <f>"00052509"</f>
        <v>00052509</v>
      </c>
    </row>
    <row r="552" spans="1:11" ht="57" x14ac:dyDescent="0.25">
      <c r="A552" s="88">
        <v>108</v>
      </c>
      <c r="B552" s="89" t="s">
        <v>2412</v>
      </c>
      <c r="C552" s="88" t="s">
        <v>0</v>
      </c>
      <c r="D552" s="89"/>
      <c r="E552" s="90">
        <v>62042</v>
      </c>
      <c r="F552" s="88">
        <v>4</v>
      </c>
      <c r="G552" s="89" t="s">
        <v>2418</v>
      </c>
      <c r="H552" s="89" t="s">
        <v>2419</v>
      </c>
      <c r="I552" s="89" t="s">
        <v>32</v>
      </c>
      <c r="J552" s="89" t="s">
        <v>47</v>
      </c>
      <c r="K552" s="89" t="str">
        <f>"00051687"</f>
        <v>00051687</v>
      </c>
    </row>
    <row r="553" spans="1:11" ht="57" x14ac:dyDescent="0.25">
      <c r="A553" s="88">
        <v>108</v>
      </c>
      <c r="B553" s="84" t="s">
        <v>5394</v>
      </c>
      <c r="C553" s="83" t="s">
        <v>0</v>
      </c>
      <c r="D553" s="84"/>
      <c r="E553" s="100">
        <v>74714</v>
      </c>
      <c r="F553" s="83">
        <v>4</v>
      </c>
      <c r="G553" s="84" t="s">
        <v>5395</v>
      </c>
      <c r="H553" s="84" t="s">
        <v>5396</v>
      </c>
      <c r="I553" s="84" t="s">
        <v>94</v>
      </c>
      <c r="J553" s="84" t="s">
        <v>355</v>
      </c>
      <c r="K553" s="84" t="s">
        <v>5697</v>
      </c>
    </row>
    <row r="554" spans="1:11" ht="57" x14ac:dyDescent="0.25">
      <c r="A554" s="88">
        <v>108</v>
      </c>
      <c r="B554" s="89" t="s">
        <v>2325</v>
      </c>
      <c r="C554" s="88" t="s">
        <v>0</v>
      </c>
      <c r="D554" s="89"/>
      <c r="E554" s="90">
        <v>100000</v>
      </c>
      <c r="F554" s="88">
        <v>4</v>
      </c>
      <c r="G554" s="89" t="s">
        <v>2326</v>
      </c>
      <c r="H554" s="89" t="s">
        <v>2327</v>
      </c>
      <c r="I554" s="89" t="s">
        <v>32</v>
      </c>
      <c r="J554" s="89" t="s">
        <v>57</v>
      </c>
      <c r="K554" s="89" t="str">
        <f>"00052695"</f>
        <v>00052695</v>
      </c>
    </row>
    <row r="555" spans="1:11" ht="57" x14ac:dyDescent="0.25">
      <c r="A555" s="88">
        <v>108</v>
      </c>
      <c r="B555" s="89" t="s">
        <v>2422</v>
      </c>
      <c r="C555" s="88" t="s">
        <v>0</v>
      </c>
      <c r="D555" s="89"/>
      <c r="E555" s="90">
        <v>88165</v>
      </c>
      <c r="F555" s="88">
        <v>4</v>
      </c>
      <c r="G555" s="89" t="s">
        <v>2423</v>
      </c>
      <c r="H555" s="89" t="s">
        <v>2424</v>
      </c>
      <c r="I555" s="89" t="s">
        <v>32</v>
      </c>
      <c r="J555" s="89" t="s">
        <v>36</v>
      </c>
      <c r="K555" s="89" t="str">
        <f>"00049826"</f>
        <v>00049826</v>
      </c>
    </row>
    <row r="556" spans="1:11" ht="42.75" x14ac:dyDescent="0.25">
      <c r="A556" s="88">
        <v>108</v>
      </c>
      <c r="B556" s="89" t="s">
        <v>2428</v>
      </c>
      <c r="C556" s="88" t="s">
        <v>0</v>
      </c>
      <c r="D556" s="89"/>
      <c r="E556" s="90">
        <v>70000</v>
      </c>
      <c r="F556" s="88">
        <v>4</v>
      </c>
      <c r="G556" s="89" t="s">
        <v>2428</v>
      </c>
      <c r="H556" s="89" t="s">
        <v>2429</v>
      </c>
      <c r="I556" s="89" t="s">
        <v>185</v>
      </c>
      <c r="J556" s="89" t="s">
        <v>270</v>
      </c>
      <c r="K556" s="89" t="str">
        <f>"00050098"</f>
        <v>00050098</v>
      </c>
    </row>
    <row r="557" spans="1:11" ht="57" x14ac:dyDescent="0.25">
      <c r="A557" s="88">
        <v>108</v>
      </c>
      <c r="B557" s="89" t="s">
        <v>2425</v>
      </c>
      <c r="C557" s="88" t="s">
        <v>0</v>
      </c>
      <c r="D557" s="89"/>
      <c r="E557" s="90">
        <v>92475</v>
      </c>
      <c r="F557" s="88">
        <v>4</v>
      </c>
      <c r="G557" s="89" t="s">
        <v>2426</v>
      </c>
      <c r="H557" s="89" t="s">
        <v>2427</v>
      </c>
      <c r="I557" s="89" t="s">
        <v>242</v>
      </c>
      <c r="J557" s="89" t="s">
        <v>900</v>
      </c>
      <c r="K557" s="89" t="str">
        <f>"00049224"</f>
        <v>00049224</v>
      </c>
    </row>
    <row r="558" spans="1:11" ht="42.75" x14ac:dyDescent="0.25">
      <c r="A558" s="88">
        <v>108</v>
      </c>
      <c r="B558" s="89" t="s">
        <v>2388</v>
      </c>
      <c r="C558" s="88" t="s">
        <v>0</v>
      </c>
      <c r="D558" s="89"/>
      <c r="E558" s="90">
        <v>70000</v>
      </c>
      <c r="F558" s="88">
        <v>4</v>
      </c>
      <c r="G558" s="89" t="s">
        <v>2388</v>
      </c>
      <c r="H558" s="89" t="s">
        <v>2430</v>
      </c>
      <c r="I558" s="89" t="s">
        <v>2231</v>
      </c>
      <c r="J558" s="89" t="s">
        <v>2376</v>
      </c>
      <c r="K558" s="89" t="str">
        <f>"00049050"</f>
        <v>00049050</v>
      </c>
    </row>
    <row r="559" spans="1:11" ht="57" x14ac:dyDescent="0.25">
      <c r="A559" s="88">
        <v>108</v>
      </c>
      <c r="B559" s="89" t="s">
        <v>2431</v>
      </c>
      <c r="C559" s="88" t="s">
        <v>0</v>
      </c>
      <c r="D559" s="89"/>
      <c r="E559" s="90">
        <v>70786</v>
      </c>
      <c r="F559" s="88">
        <v>4</v>
      </c>
      <c r="G559" s="89" t="s">
        <v>2431</v>
      </c>
      <c r="H559" s="89" t="s">
        <v>2432</v>
      </c>
      <c r="I559" s="89" t="s">
        <v>66</v>
      </c>
      <c r="J559" s="89" t="s">
        <v>99</v>
      </c>
      <c r="K559" s="89" t="str">
        <f>"00047935"</f>
        <v>00047935</v>
      </c>
    </row>
    <row r="560" spans="1:11" x14ac:dyDescent="0.25">
      <c r="A560" s="88">
        <v>108</v>
      </c>
      <c r="B560" s="89" t="s">
        <v>26</v>
      </c>
      <c r="C560" s="88" t="s">
        <v>0</v>
      </c>
      <c r="D560" s="94">
        <v>1000000</v>
      </c>
      <c r="E560" s="59"/>
      <c r="F560" s="88">
        <v>4</v>
      </c>
      <c r="G560" s="89" t="s">
        <v>836</v>
      </c>
      <c r="H560" s="89"/>
      <c r="I560" s="89" t="s">
        <v>837</v>
      </c>
      <c r="J560" s="89"/>
      <c r="K560" s="89" t="str">
        <f>"　"</f>
        <v>　</v>
      </c>
    </row>
    <row r="561" spans="1:11" ht="71.25" x14ac:dyDescent="0.25">
      <c r="A561" s="88">
        <v>108</v>
      </c>
      <c r="B561" s="89" t="s">
        <v>26</v>
      </c>
      <c r="C561" s="88" t="s">
        <v>0</v>
      </c>
      <c r="D561" s="89"/>
      <c r="E561" s="90">
        <v>91648</v>
      </c>
      <c r="F561" s="88">
        <v>4</v>
      </c>
      <c r="G561" s="89" t="s">
        <v>841</v>
      </c>
      <c r="H561" s="89" t="s">
        <v>261</v>
      </c>
      <c r="I561" s="89" t="s">
        <v>839</v>
      </c>
      <c r="J561" s="89" t="s">
        <v>840</v>
      </c>
      <c r="K561" s="89" t="str">
        <f>"00048211"</f>
        <v>00048211</v>
      </c>
    </row>
    <row r="562" spans="1:11" ht="42.75" x14ac:dyDescent="0.25">
      <c r="A562" s="88">
        <v>108</v>
      </c>
      <c r="B562" s="89" t="s">
        <v>26</v>
      </c>
      <c r="C562" s="88" t="s">
        <v>0</v>
      </c>
      <c r="D562" s="89"/>
      <c r="E562" s="90">
        <v>97519</v>
      </c>
      <c r="F562" s="88">
        <v>4</v>
      </c>
      <c r="G562" s="89" t="s">
        <v>842</v>
      </c>
      <c r="H562" s="89" t="s">
        <v>843</v>
      </c>
      <c r="I562" s="89" t="s">
        <v>32</v>
      </c>
      <c r="J562" s="89" t="s">
        <v>44</v>
      </c>
      <c r="K562" s="89" t="str">
        <f>"00047873"</f>
        <v>00047873</v>
      </c>
    </row>
    <row r="563" spans="1:11" ht="42.75" x14ac:dyDescent="0.25">
      <c r="A563" s="88">
        <v>108</v>
      </c>
      <c r="B563" s="89" t="s">
        <v>26</v>
      </c>
      <c r="C563" s="88" t="s">
        <v>0</v>
      </c>
      <c r="D563" s="89"/>
      <c r="E563" s="90">
        <v>112014</v>
      </c>
      <c r="F563" s="88">
        <v>4</v>
      </c>
      <c r="G563" s="89" t="s">
        <v>3267</v>
      </c>
      <c r="H563" s="89" t="s">
        <v>3268</v>
      </c>
      <c r="I563" s="89" t="s">
        <v>161</v>
      </c>
      <c r="J563" s="89" t="s">
        <v>3269</v>
      </c>
      <c r="K563" s="89" t="str">
        <f>"00049507"</f>
        <v>00049507</v>
      </c>
    </row>
    <row r="564" spans="1:11" ht="42.75" x14ac:dyDescent="0.25">
      <c r="A564" s="88">
        <v>108</v>
      </c>
      <c r="B564" s="89" t="s">
        <v>26</v>
      </c>
      <c r="C564" s="88" t="s">
        <v>0</v>
      </c>
      <c r="D564" s="89"/>
      <c r="E564" s="90">
        <v>98000</v>
      </c>
      <c r="F564" s="88">
        <v>4</v>
      </c>
      <c r="G564" s="89" t="s">
        <v>3270</v>
      </c>
      <c r="H564" s="89" t="s">
        <v>3271</v>
      </c>
      <c r="I564" s="89" t="s">
        <v>237</v>
      </c>
      <c r="J564" s="89" t="s">
        <v>3272</v>
      </c>
      <c r="K564" s="89" t="str">
        <f>"00051560"</f>
        <v>00051560</v>
      </c>
    </row>
    <row r="565" spans="1:11" ht="42.75" x14ac:dyDescent="0.25">
      <c r="A565" s="88">
        <v>108</v>
      </c>
      <c r="B565" s="89" t="s">
        <v>26</v>
      </c>
      <c r="C565" s="88" t="s">
        <v>0</v>
      </c>
      <c r="D565" s="89"/>
      <c r="E565" s="90">
        <v>20512</v>
      </c>
      <c r="F565" s="88">
        <v>4</v>
      </c>
      <c r="G565" s="89" t="s">
        <v>3273</v>
      </c>
      <c r="H565" s="89" t="s">
        <v>3274</v>
      </c>
      <c r="I565" s="89" t="s">
        <v>237</v>
      </c>
      <c r="J565" s="89" t="s">
        <v>3272</v>
      </c>
      <c r="K565" s="89" t="str">
        <f>"00051033"</f>
        <v>00051033</v>
      </c>
    </row>
    <row r="566" spans="1:11" ht="71.25" x14ac:dyDescent="0.25">
      <c r="A566" s="88">
        <v>108</v>
      </c>
      <c r="B566" s="89" t="s">
        <v>26</v>
      </c>
      <c r="C566" s="88" t="s">
        <v>0</v>
      </c>
      <c r="D566" s="89"/>
      <c r="E566" s="90">
        <v>91932</v>
      </c>
      <c r="F566" s="88">
        <v>4</v>
      </c>
      <c r="G566" s="89" t="s">
        <v>838</v>
      </c>
      <c r="H566" s="89" t="s">
        <v>716</v>
      </c>
      <c r="I566" s="89" t="s">
        <v>839</v>
      </c>
      <c r="J566" s="89" t="s">
        <v>840</v>
      </c>
      <c r="K566" s="89" t="str">
        <f>"00048220"</f>
        <v>00048220</v>
      </c>
    </row>
    <row r="567" spans="1:11" ht="42.75" x14ac:dyDescent="0.25">
      <c r="A567" s="88">
        <v>108</v>
      </c>
      <c r="B567" s="89" t="s">
        <v>26</v>
      </c>
      <c r="C567" s="88" t="s">
        <v>0</v>
      </c>
      <c r="D567" s="89"/>
      <c r="E567" s="90">
        <v>110684</v>
      </c>
      <c r="F567" s="88">
        <v>4</v>
      </c>
      <c r="G567" s="89" t="s">
        <v>3275</v>
      </c>
      <c r="H567" s="89" t="s">
        <v>3276</v>
      </c>
      <c r="I567" s="89" t="s">
        <v>32</v>
      </c>
      <c r="J567" s="89" t="s">
        <v>2313</v>
      </c>
      <c r="K567" s="89" t="str">
        <f>"00051575"</f>
        <v>00051575</v>
      </c>
    </row>
    <row r="568" spans="1:11" ht="42.75" x14ac:dyDescent="0.25">
      <c r="A568" s="88">
        <v>108</v>
      </c>
      <c r="B568" s="89" t="s">
        <v>26</v>
      </c>
      <c r="C568" s="88" t="s">
        <v>0</v>
      </c>
      <c r="D568" s="89"/>
      <c r="E568" s="90">
        <v>34161</v>
      </c>
      <c r="F568" s="88">
        <v>4</v>
      </c>
      <c r="G568" s="89" t="s">
        <v>3277</v>
      </c>
      <c r="H568" s="89" t="s">
        <v>3278</v>
      </c>
      <c r="I568" s="89" t="s">
        <v>156</v>
      </c>
      <c r="J568" s="89" t="s">
        <v>1023</v>
      </c>
      <c r="K568" s="89" t="str">
        <f>"00052142"</f>
        <v>00052142</v>
      </c>
    </row>
    <row r="569" spans="1:11" ht="42.75" x14ac:dyDescent="0.25">
      <c r="A569" s="88">
        <v>108</v>
      </c>
      <c r="B569" s="89" t="s">
        <v>26</v>
      </c>
      <c r="C569" s="88" t="s">
        <v>0</v>
      </c>
      <c r="D569" s="89"/>
      <c r="E569" s="90">
        <v>111164</v>
      </c>
      <c r="F569" s="88">
        <v>4</v>
      </c>
      <c r="G569" s="89" t="s">
        <v>3275</v>
      </c>
      <c r="H569" s="89" t="s">
        <v>3279</v>
      </c>
      <c r="I569" s="89" t="s">
        <v>32</v>
      </c>
      <c r="J569" s="89" t="s">
        <v>2313</v>
      </c>
      <c r="K569" s="89" t="str">
        <f>"00051577"</f>
        <v>00051577</v>
      </c>
    </row>
    <row r="570" spans="1:11" ht="42.75" x14ac:dyDescent="0.25">
      <c r="A570" s="88">
        <v>108</v>
      </c>
      <c r="B570" s="89" t="s">
        <v>26</v>
      </c>
      <c r="C570" s="88" t="s">
        <v>0</v>
      </c>
      <c r="D570" s="89"/>
      <c r="E570" s="90">
        <v>34225</v>
      </c>
      <c r="F570" s="88">
        <v>4</v>
      </c>
      <c r="G570" s="89" t="s">
        <v>3280</v>
      </c>
      <c r="H570" s="89" t="s">
        <v>2024</v>
      </c>
      <c r="I570" s="89" t="s">
        <v>156</v>
      </c>
      <c r="J570" s="89" t="s">
        <v>1023</v>
      </c>
      <c r="K570" s="89" t="str">
        <f>"00052127"</f>
        <v>00052127</v>
      </c>
    </row>
    <row r="571" spans="1:11" ht="42.75" x14ac:dyDescent="0.25">
      <c r="A571" s="88">
        <v>108</v>
      </c>
      <c r="B571" s="89" t="s">
        <v>26</v>
      </c>
      <c r="C571" s="88" t="s">
        <v>0</v>
      </c>
      <c r="D571" s="89"/>
      <c r="E571" s="90">
        <v>34225</v>
      </c>
      <c r="F571" s="88">
        <v>4</v>
      </c>
      <c r="G571" s="89" t="s">
        <v>3281</v>
      </c>
      <c r="H571" s="89" t="s">
        <v>2024</v>
      </c>
      <c r="I571" s="89" t="s">
        <v>156</v>
      </c>
      <c r="J571" s="89" t="s">
        <v>1023</v>
      </c>
      <c r="K571" s="89" t="str">
        <f>"00052137"</f>
        <v>00052137</v>
      </c>
    </row>
    <row r="572" spans="1:11" ht="42.75" x14ac:dyDescent="0.25">
      <c r="A572" s="88">
        <v>108</v>
      </c>
      <c r="B572" s="89" t="s">
        <v>26</v>
      </c>
      <c r="C572" s="88" t="s">
        <v>0</v>
      </c>
      <c r="D572" s="89"/>
      <c r="E572" s="90">
        <v>34131</v>
      </c>
      <c r="F572" s="88">
        <v>4</v>
      </c>
      <c r="G572" s="89" t="s">
        <v>3282</v>
      </c>
      <c r="H572" s="89" t="s">
        <v>2024</v>
      </c>
      <c r="I572" s="89" t="s">
        <v>156</v>
      </c>
      <c r="J572" s="89" t="s">
        <v>1023</v>
      </c>
      <c r="K572" s="89" t="str">
        <f>"00052139"</f>
        <v>00052139</v>
      </c>
    </row>
    <row r="573" spans="1:11" ht="42.75" x14ac:dyDescent="0.25">
      <c r="A573" s="88">
        <v>108</v>
      </c>
      <c r="B573" s="89" t="s">
        <v>26</v>
      </c>
      <c r="C573" s="88" t="s">
        <v>0</v>
      </c>
      <c r="D573" s="89"/>
      <c r="E573" s="90">
        <v>33606</v>
      </c>
      <c r="F573" s="88">
        <v>4</v>
      </c>
      <c r="G573" s="89" t="s">
        <v>3277</v>
      </c>
      <c r="H573" s="89" t="s">
        <v>2024</v>
      </c>
      <c r="I573" s="89" t="s">
        <v>156</v>
      </c>
      <c r="J573" s="89" t="s">
        <v>1023</v>
      </c>
      <c r="K573" s="89" t="str">
        <f>"00052138"</f>
        <v>00052138</v>
      </c>
    </row>
    <row r="574" spans="1:11" ht="42.75" x14ac:dyDescent="0.25">
      <c r="A574" s="88">
        <v>108</v>
      </c>
      <c r="B574" s="89" t="s">
        <v>5397</v>
      </c>
      <c r="C574" s="88" t="s">
        <v>0</v>
      </c>
      <c r="D574" s="89"/>
      <c r="E574" s="90">
        <v>9000</v>
      </c>
      <c r="F574" s="88">
        <v>11</v>
      </c>
      <c r="G574" s="89" t="s">
        <v>5698</v>
      </c>
      <c r="H574" s="89" t="s">
        <v>5398</v>
      </c>
      <c r="I574" s="89" t="s">
        <v>5399</v>
      </c>
      <c r="J574" s="89" t="s">
        <v>5400</v>
      </c>
      <c r="K574" s="89" t="s">
        <v>5699</v>
      </c>
    </row>
    <row r="575" spans="1:11" ht="57" x14ac:dyDescent="0.25">
      <c r="A575" s="88">
        <v>108</v>
      </c>
      <c r="B575" s="89" t="s">
        <v>2326</v>
      </c>
      <c r="C575" s="88" t="s">
        <v>0</v>
      </c>
      <c r="D575" s="89"/>
      <c r="E575" s="90">
        <v>48395</v>
      </c>
      <c r="F575" s="88">
        <v>4</v>
      </c>
      <c r="G575" s="89" t="s">
        <v>2326</v>
      </c>
      <c r="H575" s="89" t="s">
        <v>2327</v>
      </c>
      <c r="I575" s="89" t="s">
        <v>32</v>
      </c>
      <c r="J575" s="89" t="s">
        <v>57</v>
      </c>
      <c r="K575" s="89" t="str">
        <f>"00052677"</f>
        <v>00052677</v>
      </c>
    </row>
    <row r="576" spans="1:11" ht="57" x14ac:dyDescent="0.25">
      <c r="A576" s="88">
        <v>108</v>
      </c>
      <c r="B576" s="89" t="s">
        <v>2326</v>
      </c>
      <c r="C576" s="88" t="s">
        <v>0</v>
      </c>
      <c r="D576" s="89"/>
      <c r="E576" s="90">
        <v>35822</v>
      </c>
      <c r="F576" s="88">
        <v>4</v>
      </c>
      <c r="G576" s="89" t="s">
        <v>2326</v>
      </c>
      <c r="H576" s="89" t="s">
        <v>2327</v>
      </c>
      <c r="I576" s="89" t="s">
        <v>32</v>
      </c>
      <c r="J576" s="89" t="s">
        <v>57</v>
      </c>
      <c r="K576" s="89" t="str">
        <f>"00052695"</f>
        <v>00052695</v>
      </c>
    </row>
    <row r="577" spans="1:11" ht="42.75" x14ac:dyDescent="0.25">
      <c r="A577" s="88">
        <v>108</v>
      </c>
      <c r="B577" s="89" t="s">
        <v>4378</v>
      </c>
      <c r="C577" s="88" t="s">
        <v>0</v>
      </c>
      <c r="D577" s="89"/>
      <c r="E577" s="90">
        <v>87697</v>
      </c>
      <c r="F577" s="88">
        <v>4</v>
      </c>
      <c r="G577" s="89" t="s">
        <v>4378</v>
      </c>
      <c r="H577" s="89" t="s">
        <v>4379</v>
      </c>
      <c r="I577" s="89" t="s">
        <v>173</v>
      </c>
      <c r="J577" s="89" t="s">
        <v>4380</v>
      </c>
      <c r="K577" s="89" t="str">
        <f>"00052184"</f>
        <v>00052184</v>
      </c>
    </row>
    <row r="578" spans="1:11" ht="42.75" x14ac:dyDescent="0.25">
      <c r="A578" s="88">
        <v>108</v>
      </c>
      <c r="B578" s="89" t="s">
        <v>4376</v>
      </c>
      <c r="C578" s="88" t="s">
        <v>0</v>
      </c>
      <c r="D578" s="89"/>
      <c r="E578" s="90">
        <v>3334</v>
      </c>
      <c r="F578" s="88">
        <v>4</v>
      </c>
      <c r="G578" s="89" t="s">
        <v>4376</v>
      </c>
      <c r="H578" s="89" t="s">
        <v>4377</v>
      </c>
      <c r="I578" s="89" t="s">
        <v>94</v>
      </c>
      <c r="J578" s="89" t="s">
        <v>4246</v>
      </c>
      <c r="K578" s="89" t="str">
        <f>"00052272"</f>
        <v>00052272</v>
      </c>
    </row>
    <row r="579" spans="1:11" ht="57" x14ac:dyDescent="0.25">
      <c r="A579" s="88">
        <v>108</v>
      </c>
      <c r="B579" s="89" t="s">
        <v>4413</v>
      </c>
      <c r="C579" s="88" t="s">
        <v>0</v>
      </c>
      <c r="D579" s="89"/>
      <c r="E579" s="90">
        <v>100487</v>
      </c>
      <c r="F579" s="88">
        <v>4</v>
      </c>
      <c r="G579" s="89" t="s">
        <v>4413</v>
      </c>
      <c r="H579" s="89" t="s">
        <v>4414</v>
      </c>
      <c r="I579" s="89" t="s">
        <v>32</v>
      </c>
      <c r="J579" s="89" t="s">
        <v>33</v>
      </c>
      <c r="K579" s="89" t="str">
        <f>"00048470"</f>
        <v>00048470</v>
      </c>
    </row>
    <row r="580" spans="1:11" ht="42.75" x14ac:dyDescent="0.25">
      <c r="A580" s="88">
        <v>108</v>
      </c>
      <c r="B580" s="89" t="s">
        <v>4410</v>
      </c>
      <c r="C580" s="88" t="s">
        <v>0</v>
      </c>
      <c r="D580" s="89"/>
      <c r="E580" s="90">
        <v>40000</v>
      </c>
      <c r="F580" s="88">
        <v>4</v>
      </c>
      <c r="G580" s="89" t="s">
        <v>4410</v>
      </c>
      <c r="H580" s="89" t="s">
        <v>1998</v>
      </c>
      <c r="I580" s="89" t="s">
        <v>66</v>
      </c>
      <c r="J580" s="89" t="s">
        <v>1120</v>
      </c>
      <c r="K580" s="89" t="str">
        <f>"00050228"</f>
        <v>00050228</v>
      </c>
    </row>
    <row r="581" spans="1:11" ht="57" x14ac:dyDescent="0.25">
      <c r="A581" s="88">
        <v>108</v>
      </c>
      <c r="B581" s="89" t="s">
        <v>4411</v>
      </c>
      <c r="C581" s="88" t="s">
        <v>0</v>
      </c>
      <c r="D581" s="89"/>
      <c r="E581" s="90">
        <v>80589</v>
      </c>
      <c r="F581" s="88">
        <v>4</v>
      </c>
      <c r="G581" s="89" t="s">
        <v>4411</v>
      </c>
      <c r="H581" s="89" t="s">
        <v>1006</v>
      </c>
      <c r="I581" s="89" t="s">
        <v>161</v>
      </c>
      <c r="J581" s="89" t="s">
        <v>4412</v>
      </c>
      <c r="K581" s="89" t="str">
        <f>"00048232"</f>
        <v>00048232</v>
      </c>
    </row>
    <row r="582" spans="1:11" ht="57" x14ac:dyDescent="0.25">
      <c r="A582" s="88">
        <v>108</v>
      </c>
      <c r="B582" s="89" t="s">
        <v>5401</v>
      </c>
      <c r="C582" s="88" t="s">
        <v>0</v>
      </c>
      <c r="D582" s="89"/>
      <c r="E582" s="90">
        <v>135507</v>
      </c>
      <c r="F582" s="88">
        <v>4</v>
      </c>
      <c r="G582" s="89" t="s">
        <v>5401</v>
      </c>
      <c r="H582" s="89" t="s">
        <v>2327</v>
      </c>
      <c r="I582" s="89" t="s">
        <v>32</v>
      </c>
      <c r="J582" s="89" t="s">
        <v>57</v>
      </c>
      <c r="K582" s="89" t="str">
        <f>"00052718"</f>
        <v>00052718</v>
      </c>
    </row>
    <row r="583" spans="1:11" ht="42.75" x14ac:dyDescent="0.25">
      <c r="A583" s="88">
        <v>108</v>
      </c>
      <c r="B583" s="89" t="s">
        <v>2364</v>
      </c>
      <c r="C583" s="88" t="s">
        <v>0</v>
      </c>
      <c r="D583" s="89"/>
      <c r="E583" s="90">
        <v>23565</v>
      </c>
      <c r="F583" s="88">
        <v>4</v>
      </c>
      <c r="G583" s="89" t="s">
        <v>2364</v>
      </c>
      <c r="H583" s="89" t="s">
        <v>2150</v>
      </c>
      <c r="I583" s="89" t="s">
        <v>80</v>
      </c>
      <c r="J583" s="89" t="s">
        <v>80</v>
      </c>
      <c r="K583" s="89" t="str">
        <f>"00048905"</f>
        <v>00048905</v>
      </c>
    </row>
    <row r="584" spans="1:11" ht="85.5" x14ac:dyDescent="0.25">
      <c r="A584" s="88">
        <v>108</v>
      </c>
      <c r="B584" s="89" t="s">
        <v>2341</v>
      </c>
      <c r="C584" s="88" t="s">
        <v>0</v>
      </c>
      <c r="D584" s="89"/>
      <c r="E584" s="90">
        <v>7883</v>
      </c>
      <c r="F584" s="88">
        <v>4</v>
      </c>
      <c r="G584" s="89" t="s">
        <v>2341</v>
      </c>
      <c r="H584" s="89" t="s">
        <v>4404</v>
      </c>
      <c r="I584" s="89" t="s">
        <v>32</v>
      </c>
      <c r="J584" s="89" t="s">
        <v>84</v>
      </c>
      <c r="K584" s="89" t="str">
        <f>"00052035"</f>
        <v>00052035</v>
      </c>
    </row>
    <row r="585" spans="1:11" ht="57" x14ac:dyDescent="0.25">
      <c r="A585" s="88">
        <v>108</v>
      </c>
      <c r="B585" s="89" t="s">
        <v>2326</v>
      </c>
      <c r="C585" s="88" t="s">
        <v>0</v>
      </c>
      <c r="D585" s="89"/>
      <c r="E585" s="90">
        <v>135358</v>
      </c>
      <c r="F585" s="88">
        <v>4</v>
      </c>
      <c r="G585" s="89" t="s">
        <v>2326</v>
      </c>
      <c r="H585" s="89" t="s">
        <v>2327</v>
      </c>
      <c r="I585" s="89" t="s">
        <v>32</v>
      </c>
      <c r="J585" s="89" t="s">
        <v>57</v>
      </c>
      <c r="K585" s="89" t="str">
        <f>"00052729"</f>
        <v>00052729</v>
      </c>
    </row>
    <row r="586" spans="1:11" ht="42.75" x14ac:dyDescent="0.25">
      <c r="A586" s="88">
        <v>108</v>
      </c>
      <c r="B586" s="89" t="s">
        <v>459</v>
      </c>
      <c r="C586" s="88" t="s">
        <v>0</v>
      </c>
      <c r="D586" s="89"/>
      <c r="E586" s="90">
        <v>27427</v>
      </c>
      <c r="F586" s="88">
        <v>4</v>
      </c>
      <c r="G586" s="89" t="s">
        <v>459</v>
      </c>
      <c r="H586" s="89" t="s">
        <v>460</v>
      </c>
      <c r="I586" s="89" t="s">
        <v>32</v>
      </c>
      <c r="J586" s="89" t="s">
        <v>44</v>
      </c>
      <c r="K586" s="89" t="str">
        <f>"00047608"</f>
        <v>00047608</v>
      </c>
    </row>
    <row r="587" spans="1:11" ht="42.75" x14ac:dyDescent="0.25">
      <c r="A587" s="88">
        <v>108</v>
      </c>
      <c r="B587" s="89" t="s">
        <v>4460</v>
      </c>
      <c r="C587" s="88" t="s">
        <v>0</v>
      </c>
      <c r="D587" s="89"/>
      <c r="E587" s="90">
        <v>12533</v>
      </c>
      <c r="F587" s="88">
        <v>4</v>
      </c>
      <c r="G587" s="89" t="s">
        <v>4460</v>
      </c>
      <c r="H587" s="89" t="s">
        <v>2375</v>
      </c>
      <c r="I587" s="89" t="s">
        <v>2231</v>
      </c>
      <c r="J587" s="89" t="s">
        <v>2376</v>
      </c>
      <c r="K587" s="89" t="str">
        <f>"00049439"</f>
        <v>00049439</v>
      </c>
    </row>
    <row r="588" spans="1:11" ht="57" x14ac:dyDescent="0.25">
      <c r="A588" s="88">
        <v>108</v>
      </c>
      <c r="B588" s="89" t="s">
        <v>4544</v>
      </c>
      <c r="C588" s="88" t="s">
        <v>0</v>
      </c>
      <c r="D588" s="89"/>
      <c r="E588" s="90">
        <v>97448</v>
      </c>
      <c r="F588" s="88">
        <v>4</v>
      </c>
      <c r="G588" s="89" t="s">
        <v>4544</v>
      </c>
      <c r="H588" s="89" t="s">
        <v>2110</v>
      </c>
      <c r="I588" s="89" t="s">
        <v>106</v>
      </c>
      <c r="J588" s="89" t="s">
        <v>1492</v>
      </c>
      <c r="K588" s="89" t="str">
        <f>"00050598"</f>
        <v>00050598</v>
      </c>
    </row>
    <row r="589" spans="1:11" ht="99.75" x14ac:dyDescent="0.25">
      <c r="A589" s="88">
        <v>108</v>
      </c>
      <c r="B589" s="89" t="s">
        <v>4303</v>
      </c>
      <c r="C589" s="88" t="s">
        <v>0</v>
      </c>
      <c r="D589" s="89"/>
      <c r="E589" s="90">
        <v>203563</v>
      </c>
      <c r="F589" s="88">
        <v>4</v>
      </c>
      <c r="G589" s="89" t="s">
        <v>4303</v>
      </c>
      <c r="H589" s="89" t="s">
        <v>4304</v>
      </c>
      <c r="I589" s="89" t="s">
        <v>32</v>
      </c>
      <c r="J589" s="89" t="s">
        <v>4305</v>
      </c>
      <c r="K589" s="89" t="str">
        <f>"00048430"</f>
        <v>00048430</v>
      </c>
    </row>
    <row r="590" spans="1:11" ht="57" x14ac:dyDescent="0.25">
      <c r="A590" s="88">
        <v>108</v>
      </c>
      <c r="B590" s="89" t="s">
        <v>4563</v>
      </c>
      <c r="C590" s="88" t="s">
        <v>0</v>
      </c>
      <c r="D590" s="89"/>
      <c r="E590" s="90">
        <v>45383</v>
      </c>
      <c r="F590" s="88">
        <v>4</v>
      </c>
      <c r="G590" s="89" t="s">
        <v>4563</v>
      </c>
      <c r="H590" s="89" t="s">
        <v>3367</v>
      </c>
      <c r="I590" s="89" t="s">
        <v>32</v>
      </c>
      <c r="J590" s="89" t="s">
        <v>742</v>
      </c>
      <c r="K590" s="89" t="str">
        <f>"00051692"</f>
        <v>00051692</v>
      </c>
    </row>
    <row r="591" spans="1:11" ht="42.75" x14ac:dyDescent="0.25">
      <c r="A591" s="88">
        <v>108</v>
      </c>
      <c r="B591" s="89" t="s">
        <v>2428</v>
      </c>
      <c r="C591" s="88" t="s">
        <v>0</v>
      </c>
      <c r="D591" s="89"/>
      <c r="E591" s="90">
        <v>38343</v>
      </c>
      <c r="F591" s="88">
        <v>4</v>
      </c>
      <c r="G591" s="89" t="s">
        <v>2428</v>
      </c>
      <c r="H591" s="89" t="s">
        <v>2429</v>
      </c>
      <c r="I591" s="89" t="s">
        <v>185</v>
      </c>
      <c r="J591" s="89" t="s">
        <v>270</v>
      </c>
      <c r="K591" s="89" t="str">
        <f>"00050098"</f>
        <v>00050098</v>
      </c>
    </row>
    <row r="592" spans="1:11" ht="57" x14ac:dyDescent="0.25">
      <c r="A592" s="88">
        <v>108</v>
      </c>
      <c r="B592" s="89" t="s">
        <v>4544</v>
      </c>
      <c r="C592" s="88" t="s">
        <v>0</v>
      </c>
      <c r="D592" s="89"/>
      <c r="E592" s="90">
        <v>52762</v>
      </c>
      <c r="F592" s="88">
        <v>4</v>
      </c>
      <c r="G592" s="89" t="s">
        <v>4544</v>
      </c>
      <c r="H592" s="89" t="s">
        <v>4545</v>
      </c>
      <c r="I592" s="89" t="s">
        <v>106</v>
      </c>
      <c r="J592" s="89" t="s">
        <v>1492</v>
      </c>
      <c r="K592" s="89" t="str">
        <f>"00050597"</f>
        <v>00050597</v>
      </c>
    </row>
    <row r="593" spans="1:11" ht="42.75" x14ac:dyDescent="0.25">
      <c r="A593" s="88">
        <v>108</v>
      </c>
      <c r="B593" s="89" t="s">
        <v>2334</v>
      </c>
      <c r="C593" s="88" t="s">
        <v>0</v>
      </c>
      <c r="D593" s="89"/>
      <c r="E593" s="90">
        <v>101596</v>
      </c>
      <c r="F593" s="88">
        <v>4</v>
      </c>
      <c r="G593" s="89" t="s">
        <v>2334</v>
      </c>
      <c r="H593" s="89" t="s">
        <v>2335</v>
      </c>
      <c r="I593" s="89" t="s">
        <v>209</v>
      </c>
      <c r="J593" s="89" t="s">
        <v>210</v>
      </c>
      <c r="K593" s="89" t="str">
        <f>"00051688"</f>
        <v>00051688</v>
      </c>
    </row>
    <row r="594" spans="1:11" ht="71.25" x14ac:dyDescent="0.25">
      <c r="A594" s="88">
        <v>108</v>
      </c>
      <c r="B594" s="89" t="s">
        <v>4341</v>
      </c>
      <c r="C594" s="88" t="s">
        <v>0</v>
      </c>
      <c r="D594" s="89"/>
      <c r="E594" s="90">
        <v>14973</v>
      </c>
      <c r="F594" s="88">
        <v>4</v>
      </c>
      <c r="G594" s="89" t="s">
        <v>4341</v>
      </c>
      <c r="H594" s="89" t="s">
        <v>309</v>
      </c>
      <c r="I594" s="89" t="s">
        <v>763</v>
      </c>
      <c r="J594" s="89" t="s">
        <v>1770</v>
      </c>
      <c r="K594" s="89" t="str">
        <f>"00047201"</f>
        <v>00047201</v>
      </c>
    </row>
    <row r="595" spans="1:11" ht="42.75" x14ac:dyDescent="0.25">
      <c r="A595" s="88">
        <v>108</v>
      </c>
      <c r="B595" s="89" t="s">
        <v>2331</v>
      </c>
      <c r="C595" s="88" t="s">
        <v>0</v>
      </c>
      <c r="D595" s="89"/>
      <c r="E595" s="90">
        <v>60000</v>
      </c>
      <c r="F595" s="88">
        <v>4</v>
      </c>
      <c r="G595" s="89" t="s">
        <v>2331</v>
      </c>
      <c r="H595" s="89" t="s">
        <v>4543</v>
      </c>
      <c r="I595" s="89" t="s">
        <v>32</v>
      </c>
      <c r="J595" s="89" t="s">
        <v>2313</v>
      </c>
      <c r="K595" s="89" t="str">
        <f>"00051620"</f>
        <v>00051620</v>
      </c>
    </row>
    <row r="596" spans="1:11" ht="28.5" x14ac:dyDescent="0.25">
      <c r="A596" s="88">
        <v>108</v>
      </c>
      <c r="B596" s="89" t="s">
        <v>12</v>
      </c>
      <c r="C596" s="88" t="s">
        <v>0</v>
      </c>
      <c r="D596" s="91">
        <v>75400000</v>
      </c>
      <c r="E596" s="59"/>
      <c r="F596" s="88">
        <v>4</v>
      </c>
      <c r="G596" s="89" t="s">
        <v>52</v>
      </c>
      <c r="H596" s="89"/>
      <c r="I596" s="89" t="s">
        <v>53</v>
      </c>
      <c r="J596" s="89"/>
      <c r="K596" s="89" t="str">
        <f>"　"</f>
        <v>　</v>
      </c>
    </row>
    <row r="597" spans="1:11" ht="57" x14ac:dyDescent="0.25">
      <c r="A597" s="88">
        <v>108</v>
      </c>
      <c r="B597" s="89" t="s">
        <v>447</v>
      </c>
      <c r="C597" s="88" t="s">
        <v>0</v>
      </c>
      <c r="D597" s="89"/>
      <c r="E597" s="27">
        <v>124397</v>
      </c>
      <c r="F597" s="88">
        <v>4</v>
      </c>
      <c r="G597" s="89" t="s">
        <v>448</v>
      </c>
      <c r="H597" s="89" t="s">
        <v>375</v>
      </c>
      <c r="I597" s="89" t="s">
        <v>66</v>
      </c>
      <c r="J597" s="89" t="s">
        <v>125</v>
      </c>
      <c r="K597" s="89" t="str">
        <f>"00046915"</f>
        <v>00046915</v>
      </c>
    </row>
    <row r="598" spans="1:11" ht="42.75" x14ac:dyDescent="0.25">
      <c r="A598" s="88">
        <v>108</v>
      </c>
      <c r="B598" s="89" t="s">
        <v>449</v>
      </c>
      <c r="C598" s="88" t="s">
        <v>0</v>
      </c>
      <c r="D598" s="89"/>
      <c r="E598" s="27">
        <v>102576</v>
      </c>
      <c r="F598" s="88">
        <v>4</v>
      </c>
      <c r="G598" s="89" t="s">
        <v>450</v>
      </c>
      <c r="H598" s="89" t="s">
        <v>451</v>
      </c>
      <c r="I598" s="89" t="s">
        <v>209</v>
      </c>
      <c r="J598" s="89" t="s">
        <v>210</v>
      </c>
      <c r="K598" s="89" t="str">
        <f>"00047844"</f>
        <v>00047844</v>
      </c>
    </row>
    <row r="599" spans="1:11" ht="71.25" x14ac:dyDescent="0.25">
      <c r="A599" s="88">
        <v>108</v>
      </c>
      <c r="B599" s="89" t="s">
        <v>2270</v>
      </c>
      <c r="C599" s="88" t="s">
        <v>0</v>
      </c>
      <c r="D599" s="89"/>
      <c r="E599" s="27">
        <v>8438</v>
      </c>
      <c r="F599" s="88">
        <v>4</v>
      </c>
      <c r="G599" s="89" t="s">
        <v>2271</v>
      </c>
      <c r="H599" s="89" t="s">
        <v>2272</v>
      </c>
      <c r="I599" s="89" t="s">
        <v>106</v>
      </c>
      <c r="J599" s="89" t="s">
        <v>107</v>
      </c>
      <c r="K599" s="89" t="str">
        <f>"00049264"</f>
        <v>00049264</v>
      </c>
    </row>
    <row r="600" spans="1:11" ht="85.5" x14ac:dyDescent="0.25">
      <c r="A600" s="88">
        <v>108</v>
      </c>
      <c r="B600" s="89" t="s">
        <v>2280</v>
      </c>
      <c r="C600" s="88" t="s">
        <v>0</v>
      </c>
      <c r="D600" s="89"/>
      <c r="E600" s="27">
        <v>100000</v>
      </c>
      <c r="F600" s="88">
        <v>4</v>
      </c>
      <c r="G600" s="89" t="s">
        <v>2281</v>
      </c>
      <c r="H600" s="89" t="s">
        <v>1930</v>
      </c>
      <c r="I600" s="89" t="s">
        <v>32</v>
      </c>
      <c r="J600" s="89" t="s">
        <v>393</v>
      </c>
      <c r="K600" s="89" t="str">
        <f>"00049563"</f>
        <v>00049563</v>
      </c>
    </row>
    <row r="601" spans="1:11" ht="42.75" x14ac:dyDescent="0.25">
      <c r="A601" s="88">
        <v>108</v>
      </c>
      <c r="B601" s="89" t="s">
        <v>2282</v>
      </c>
      <c r="C601" s="88" t="s">
        <v>0</v>
      </c>
      <c r="D601" s="89"/>
      <c r="E601" s="27">
        <v>19271</v>
      </c>
      <c r="F601" s="88">
        <v>4</v>
      </c>
      <c r="G601" s="89" t="s">
        <v>2283</v>
      </c>
      <c r="H601" s="89" t="s">
        <v>2284</v>
      </c>
      <c r="I601" s="89" t="s">
        <v>106</v>
      </c>
      <c r="J601" s="89" t="s">
        <v>1739</v>
      </c>
      <c r="K601" s="89" t="str">
        <f>"00047823"</f>
        <v>00047823</v>
      </c>
    </row>
    <row r="602" spans="1:11" ht="42.75" x14ac:dyDescent="0.25">
      <c r="A602" s="88">
        <v>108</v>
      </c>
      <c r="B602" s="89" t="s">
        <v>2278</v>
      </c>
      <c r="C602" s="88" t="s">
        <v>0</v>
      </c>
      <c r="D602" s="89"/>
      <c r="E602" s="27">
        <v>138527</v>
      </c>
      <c r="F602" s="88">
        <v>4</v>
      </c>
      <c r="G602" s="89" t="s">
        <v>2279</v>
      </c>
      <c r="H602" s="89" t="s">
        <v>1930</v>
      </c>
      <c r="I602" s="89" t="s">
        <v>32</v>
      </c>
      <c r="J602" s="89" t="s">
        <v>393</v>
      </c>
      <c r="K602" s="89" t="str">
        <f>"00048962"</f>
        <v>00048962</v>
      </c>
    </row>
    <row r="603" spans="1:11" ht="85.5" x14ac:dyDescent="0.25">
      <c r="A603" s="88">
        <v>108</v>
      </c>
      <c r="B603" s="89" t="s">
        <v>2314</v>
      </c>
      <c r="C603" s="88" t="s">
        <v>0</v>
      </c>
      <c r="D603" s="89"/>
      <c r="E603" s="27">
        <v>22021</v>
      </c>
      <c r="F603" s="88">
        <v>4</v>
      </c>
      <c r="G603" s="89" t="s">
        <v>2315</v>
      </c>
      <c r="H603" s="89" t="s">
        <v>2316</v>
      </c>
      <c r="I603" s="89" t="s">
        <v>17</v>
      </c>
      <c r="J603" s="89" t="s">
        <v>18</v>
      </c>
      <c r="K603" s="89" t="str">
        <f>"00052799"</f>
        <v>00052799</v>
      </c>
    </row>
    <row r="604" spans="1:11" ht="42.75" x14ac:dyDescent="0.25">
      <c r="A604" s="88">
        <v>108</v>
      </c>
      <c r="B604" s="89" t="s">
        <v>2273</v>
      </c>
      <c r="C604" s="88" t="s">
        <v>0</v>
      </c>
      <c r="D604" s="89"/>
      <c r="E604" s="27">
        <v>107569</v>
      </c>
      <c r="F604" s="88">
        <v>4</v>
      </c>
      <c r="G604" s="89" t="s">
        <v>2274</v>
      </c>
      <c r="H604" s="89" t="s">
        <v>2275</v>
      </c>
      <c r="I604" s="89" t="s">
        <v>2276</v>
      </c>
      <c r="J604" s="89" t="s">
        <v>2277</v>
      </c>
      <c r="K604" s="89" t="str">
        <f>"00049305"</f>
        <v>00049305</v>
      </c>
    </row>
    <row r="605" spans="1:11" ht="42.75" x14ac:dyDescent="0.25">
      <c r="A605" s="88">
        <v>108</v>
      </c>
      <c r="B605" s="89" t="s">
        <v>2297</v>
      </c>
      <c r="C605" s="88" t="s">
        <v>0</v>
      </c>
      <c r="D605" s="89"/>
      <c r="E605" s="27">
        <v>50000</v>
      </c>
      <c r="F605" s="88">
        <v>4</v>
      </c>
      <c r="G605" s="89" t="s">
        <v>2298</v>
      </c>
      <c r="H605" s="89" t="s">
        <v>2299</v>
      </c>
      <c r="I605" s="89" t="s">
        <v>746</v>
      </c>
      <c r="J605" s="89" t="s">
        <v>747</v>
      </c>
      <c r="K605" s="89" t="s">
        <v>5899</v>
      </c>
    </row>
    <row r="606" spans="1:11" ht="71.25" x14ac:dyDescent="0.25">
      <c r="A606" s="88">
        <v>108</v>
      </c>
      <c r="B606" s="89" t="s">
        <v>2286</v>
      </c>
      <c r="C606" s="88" t="s">
        <v>0</v>
      </c>
      <c r="D606" s="89"/>
      <c r="E606" s="27">
        <v>86866</v>
      </c>
      <c r="F606" s="88">
        <v>4</v>
      </c>
      <c r="G606" s="89" t="s">
        <v>2287</v>
      </c>
      <c r="H606" s="89" t="s">
        <v>2288</v>
      </c>
      <c r="I606" s="89" t="s">
        <v>746</v>
      </c>
      <c r="J606" s="89" t="s">
        <v>747</v>
      </c>
      <c r="K606" s="89" t="str">
        <f>"00050236"</f>
        <v>00050236</v>
      </c>
    </row>
    <row r="607" spans="1:11" ht="85.5" x14ac:dyDescent="0.25">
      <c r="A607" s="88">
        <v>108</v>
      </c>
      <c r="B607" s="89" t="s">
        <v>2273</v>
      </c>
      <c r="C607" s="88" t="s">
        <v>0</v>
      </c>
      <c r="D607" s="89"/>
      <c r="E607" s="27">
        <v>110610</v>
      </c>
      <c r="F607" s="88">
        <v>4</v>
      </c>
      <c r="G607" s="89" t="s">
        <v>2285</v>
      </c>
      <c r="H607" s="89" t="s">
        <v>2275</v>
      </c>
      <c r="I607" s="89" t="s">
        <v>2276</v>
      </c>
      <c r="J607" s="89" t="s">
        <v>2277</v>
      </c>
      <c r="K607" s="89" t="str">
        <f>"00046786"</f>
        <v>00046786</v>
      </c>
    </row>
    <row r="608" spans="1:11" ht="99.75" x14ac:dyDescent="0.25">
      <c r="A608" s="88">
        <v>108</v>
      </c>
      <c r="B608" s="89" t="s">
        <v>2289</v>
      </c>
      <c r="C608" s="88" t="s">
        <v>0</v>
      </c>
      <c r="D608" s="89"/>
      <c r="E608" s="27">
        <v>150000</v>
      </c>
      <c r="F608" s="88">
        <v>4</v>
      </c>
      <c r="G608" s="89" t="s">
        <v>2290</v>
      </c>
      <c r="H608" s="89" t="s">
        <v>2291</v>
      </c>
      <c r="I608" s="89" t="s">
        <v>2292</v>
      </c>
      <c r="J608" s="89" t="s">
        <v>2293</v>
      </c>
      <c r="K608" s="89" t="str">
        <f>"00049126"</f>
        <v>00049126</v>
      </c>
    </row>
    <row r="609" spans="1:11" ht="71.25" x14ac:dyDescent="0.25">
      <c r="A609" s="88">
        <v>108</v>
      </c>
      <c r="B609" s="89" t="s">
        <v>2300</v>
      </c>
      <c r="C609" s="88" t="s">
        <v>0</v>
      </c>
      <c r="D609" s="89"/>
      <c r="E609" s="27">
        <v>64641</v>
      </c>
      <c r="F609" s="88">
        <v>4</v>
      </c>
      <c r="G609" s="89" t="s">
        <v>2301</v>
      </c>
      <c r="H609" s="89" t="s">
        <v>2302</v>
      </c>
      <c r="I609" s="89" t="s">
        <v>66</v>
      </c>
      <c r="J609" s="89" t="s">
        <v>99</v>
      </c>
      <c r="K609" s="89" t="s">
        <v>6071</v>
      </c>
    </row>
    <row r="610" spans="1:11" ht="57" x14ac:dyDescent="0.25">
      <c r="A610" s="88">
        <v>108</v>
      </c>
      <c r="B610" s="89" t="s">
        <v>2304</v>
      </c>
      <c r="C610" s="88" t="s">
        <v>0</v>
      </c>
      <c r="D610" s="89"/>
      <c r="E610" s="27">
        <v>60000</v>
      </c>
      <c r="F610" s="88">
        <v>4</v>
      </c>
      <c r="G610" s="89" t="s">
        <v>2305</v>
      </c>
      <c r="H610" s="89" t="s">
        <v>2306</v>
      </c>
      <c r="I610" s="89" t="s">
        <v>66</v>
      </c>
      <c r="J610" s="89" t="s">
        <v>99</v>
      </c>
      <c r="K610" s="89" t="s">
        <v>6648</v>
      </c>
    </row>
    <row r="611" spans="1:11" ht="114" x14ac:dyDescent="0.25">
      <c r="A611" s="88">
        <v>108</v>
      </c>
      <c r="B611" s="89" t="s">
        <v>2294</v>
      </c>
      <c r="C611" s="88" t="s">
        <v>0</v>
      </c>
      <c r="D611" s="89"/>
      <c r="E611" s="27">
        <v>70557</v>
      </c>
      <c r="F611" s="88">
        <v>4</v>
      </c>
      <c r="G611" s="89" t="s">
        <v>2295</v>
      </c>
      <c r="H611" s="89" t="s">
        <v>2296</v>
      </c>
      <c r="I611" s="89" t="s">
        <v>66</v>
      </c>
      <c r="J611" s="89" t="s">
        <v>99</v>
      </c>
      <c r="K611" s="89" t="str">
        <f>"00050553"</f>
        <v>00050553</v>
      </c>
    </row>
    <row r="612" spans="1:11" ht="42.75" x14ac:dyDescent="0.25">
      <c r="A612" s="88">
        <v>108</v>
      </c>
      <c r="B612" s="89" t="s">
        <v>2307</v>
      </c>
      <c r="C612" s="88" t="s">
        <v>0</v>
      </c>
      <c r="D612" s="89"/>
      <c r="E612" s="27">
        <v>53617</v>
      </c>
      <c r="F612" s="88">
        <v>4</v>
      </c>
      <c r="G612" s="89" t="s">
        <v>2308</v>
      </c>
      <c r="H612" s="89" t="s">
        <v>2309</v>
      </c>
      <c r="I612" s="89" t="s">
        <v>66</v>
      </c>
      <c r="J612" s="89" t="s">
        <v>1237</v>
      </c>
      <c r="K612" s="89" t="str">
        <f>"00050082"</f>
        <v>00050082</v>
      </c>
    </row>
    <row r="613" spans="1:11" ht="85.5" x14ac:dyDescent="0.25">
      <c r="A613" s="88">
        <v>108</v>
      </c>
      <c r="B613" s="89" t="s">
        <v>2267</v>
      </c>
      <c r="C613" s="88" t="s">
        <v>0</v>
      </c>
      <c r="D613" s="89"/>
      <c r="E613" s="27">
        <v>67845</v>
      </c>
      <c r="F613" s="88">
        <v>4</v>
      </c>
      <c r="G613" s="89" t="s">
        <v>2268</v>
      </c>
      <c r="H613" s="89" t="s">
        <v>2269</v>
      </c>
      <c r="I613" s="89" t="s">
        <v>849</v>
      </c>
      <c r="J613" s="89" t="s">
        <v>1532</v>
      </c>
      <c r="K613" s="89" t="str">
        <f>"00049678"</f>
        <v>00049678</v>
      </c>
    </row>
    <row r="614" spans="1:11" ht="42.75" x14ac:dyDescent="0.25">
      <c r="A614" s="88">
        <v>108</v>
      </c>
      <c r="B614" s="89" t="s">
        <v>2294</v>
      </c>
      <c r="C614" s="88" t="s">
        <v>0</v>
      </c>
      <c r="D614" s="89"/>
      <c r="E614" s="27">
        <v>60000</v>
      </c>
      <c r="F614" s="88">
        <v>4</v>
      </c>
      <c r="G614" s="89" t="s">
        <v>2303</v>
      </c>
      <c r="H614" s="89" t="s">
        <v>2167</v>
      </c>
      <c r="I614" s="89" t="s">
        <v>66</v>
      </c>
      <c r="J614" s="89" t="s">
        <v>99</v>
      </c>
      <c r="K614" s="89" t="str">
        <f>"00050443"</f>
        <v>00050443</v>
      </c>
    </row>
    <row r="615" spans="1:11" ht="99.75" x14ac:dyDescent="0.25">
      <c r="A615" s="88">
        <v>108</v>
      </c>
      <c r="B615" s="89" t="s">
        <v>2310</v>
      </c>
      <c r="C615" s="88" t="s">
        <v>0</v>
      </c>
      <c r="D615" s="89"/>
      <c r="E615" s="27">
        <v>14370</v>
      </c>
      <c r="F615" s="88">
        <v>4</v>
      </c>
      <c r="G615" s="89" t="s">
        <v>2311</v>
      </c>
      <c r="H615" s="89" t="s">
        <v>2312</v>
      </c>
      <c r="I615" s="89" t="s">
        <v>32</v>
      </c>
      <c r="J615" s="89" t="s">
        <v>2313</v>
      </c>
      <c r="K615" s="89" t="str">
        <f>"00051604"</f>
        <v>00051604</v>
      </c>
    </row>
    <row r="616" spans="1:11" ht="57" x14ac:dyDescent="0.25">
      <c r="A616" s="88">
        <v>108</v>
      </c>
      <c r="B616" s="89" t="s">
        <v>2322</v>
      </c>
      <c r="C616" s="88" t="s">
        <v>0</v>
      </c>
      <c r="D616" s="89"/>
      <c r="E616" s="27">
        <v>11523</v>
      </c>
      <c r="F616" s="88">
        <v>4</v>
      </c>
      <c r="G616" s="89" t="s">
        <v>2323</v>
      </c>
      <c r="H616" s="89" t="s">
        <v>2324</v>
      </c>
      <c r="I616" s="89" t="s">
        <v>66</v>
      </c>
      <c r="J616" s="89" t="s">
        <v>125</v>
      </c>
      <c r="K616" s="89" t="s">
        <v>6647</v>
      </c>
    </row>
    <row r="617" spans="1:11" ht="85.5" x14ac:dyDescent="0.25">
      <c r="A617" s="88">
        <v>108</v>
      </c>
      <c r="B617" s="89" t="s">
        <v>447</v>
      </c>
      <c r="C617" s="88" t="s">
        <v>0</v>
      </c>
      <c r="D617" s="89"/>
      <c r="E617" s="27">
        <v>133953</v>
      </c>
      <c r="F617" s="88">
        <v>4</v>
      </c>
      <c r="G617" s="89" t="s">
        <v>2317</v>
      </c>
      <c r="H617" s="89" t="s">
        <v>2318</v>
      </c>
      <c r="I617" s="89" t="s">
        <v>787</v>
      </c>
      <c r="J617" s="89" t="s">
        <v>2319</v>
      </c>
      <c r="K617" s="89" t="s">
        <v>6646</v>
      </c>
    </row>
    <row r="618" spans="1:11" ht="42.75" x14ac:dyDescent="0.25">
      <c r="A618" s="88">
        <v>108</v>
      </c>
      <c r="B618" s="89" t="s">
        <v>2307</v>
      </c>
      <c r="C618" s="88" t="s">
        <v>0</v>
      </c>
      <c r="D618" s="89"/>
      <c r="E618" s="27">
        <v>85255</v>
      </c>
      <c r="F618" s="88">
        <v>4</v>
      </c>
      <c r="G618" s="89" t="s">
        <v>2320</v>
      </c>
      <c r="H618" s="89" t="s">
        <v>2321</v>
      </c>
      <c r="I618" s="89" t="s">
        <v>17</v>
      </c>
      <c r="J618" s="89" t="s">
        <v>18</v>
      </c>
      <c r="K618" s="89" t="s">
        <v>6645</v>
      </c>
    </row>
    <row r="619" spans="1:11" ht="28.5" x14ac:dyDescent="0.25">
      <c r="A619" s="88">
        <v>108</v>
      </c>
      <c r="B619" s="89" t="s">
        <v>26</v>
      </c>
      <c r="C619" s="88" t="s">
        <v>0</v>
      </c>
      <c r="D619" s="94">
        <v>240000</v>
      </c>
      <c r="E619" s="101"/>
      <c r="F619" s="88">
        <v>4</v>
      </c>
      <c r="G619" s="89" t="s">
        <v>29</v>
      </c>
      <c r="H619" s="89"/>
      <c r="I619" s="89" t="s">
        <v>14</v>
      </c>
      <c r="J619" s="89"/>
      <c r="K619" s="89" t="str">
        <f>"　"</f>
        <v>　</v>
      </c>
    </row>
    <row r="620" spans="1:11" ht="85.5" x14ac:dyDescent="0.25">
      <c r="A620" s="88">
        <v>108</v>
      </c>
      <c r="B620" s="89" t="s">
        <v>26</v>
      </c>
      <c r="C620" s="88" t="s">
        <v>0</v>
      </c>
      <c r="D620" s="89"/>
      <c r="E620" s="27">
        <v>60000</v>
      </c>
      <c r="F620" s="88">
        <v>4</v>
      </c>
      <c r="G620" s="89" t="s">
        <v>3294</v>
      </c>
      <c r="H620" s="89" t="s">
        <v>2215</v>
      </c>
      <c r="I620" s="89" t="s">
        <v>746</v>
      </c>
      <c r="J620" s="89" t="s">
        <v>747</v>
      </c>
      <c r="K620" s="89" t="str">
        <f>"00049776"</f>
        <v>00049776</v>
      </c>
    </row>
    <row r="621" spans="1:11" ht="42.75" x14ac:dyDescent="0.25">
      <c r="A621" s="88">
        <v>108</v>
      </c>
      <c r="B621" s="89" t="s">
        <v>26</v>
      </c>
      <c r="C621" s="88" t="s">
        <v>0</v>
      </c>
      <c r="D621" s="89"/>
      <c r="E621" s="27">
        <v>79733</v>
      </c>
      <c r="F621" s="88">
        <v>4</v>
      </c>
      <c r="G621" s="89" t="s">
        <v>3291</v>
      </c>
      <c r="H621" s="89" t="s">
        <v>3292</v>
      </c>
      <c r="I621" s="89" t="s">
        <v>2925</v>
      </c>
      <c r="J621" s="89" t="s">
        <v>3293</v>
      </c>
      <c r="K621" s="89" t="str">
        <f>"00051297"</f>
        <v>00051297</v>
      </c>
    </row>
    <row r="622" spans="1:11" ht="99.75" x14ac:dyDescent="0.25">
      <c r="A622" s="88">
        <v>108</v>
      </c>
      <c r="B622" s="89" t="s">
        <v>26</v>
      </c>
      <c r="C622" s="88" t="s">
        <v>0</v>
      </c>
      <c r="D622" s="89"/>
      <c r="E622" s="27">
        <v>53663</v>
      </c>
      <c r="F622" s="88">
        <v>4</v>
      </c>
      <c r="G622" s="89" t="s">
        <v>3295</v>
      </c>
      <c r="H622" s="89" t="s">
        <v>3296</v>
      </c>
      <c r="I622" s="89" t="s">
        <v>66</v>
      </c>
      <c r="J622" s="89" t="s">
        <v>125</v>
      </c>
      <c r="K622" s="89" t="str">
        <f>"00051958"</f>
        <v>00051958</v>
      </c>
    </row>
    <row r="623" spans="1:11" ht="99.75" x14ac:dyDescent="0.25">
      <c r="A623" s="88">
        <v>108</v>
      </c>
      <c r="B623" s="89" t="s">
        <v>26</v>
      </c>
      <c r="C623" s="88" t="s">
        <v>0</v>
      </c>
      <c r="D623" s="89"/>
      <c r="E623" s="27">
        <v>20000</v>
      </c>
      <c r="F623" s="88">
        <v>4</v>
      </c>
      <c r="G623" s="89" t="s">
        <v>2311</v>
      </c>
      <c r="H623" s="89" t="s">
        <v>2312</v>
      </c>
      <c r="I623" s="89" t="s">
        <v>32</v>
      </c>
      <c r="J623" s="89" t="s">
        <v>2313</v>
      </c>
      <c r="K623" s="89" t="str">
        <f>"00051604"</f>
        <v>00051604</v>
      </c>
    </row>
    <row r="624" spans="1:11" ht="42.75" x14ac:dyDescent="0.25">
      <c r="A624" s="88">
        <v>108</v>
      </c>
      <c r="B624" s="89" t="s">
        <v>4579</v>
      </c>
      <c r="C624" s="88" t="s">
        <v>0</v>
      </c>
      <c r="D624" s="89"/>
      <c r="E624" s="91">
        <v>57355</v>
      </c>
      <c r="F624" s="88">
        <v>4</v>
      </c>
      <c r="G624" s="89" t="s">
        <v>4580</v>
      </c>
      <c r="H624" s="89" t="s">
        <v>1434</v>
      </c>
      <c r="I624" s="89" t="s">
        <v>746</v>
      </c>
      <c r="J624" s="89" t="s">
        <v>747</v>
      </c>
      <c r="K624" s="89" t="str">
        <f>"00050910"</f>
        <v>00050910</v>
      </c>
    </row>
    <row r="625" spans="1:14" ht="28.5" x14ac:dyDescent="0.25">
      <c r="A625" s="88">
        <v>108</v>
      </c>
      <c r="B625" s="89" t="s">
        <v>12</v>
      </c>
      <c r="C625" s="88" t="s">
        <v>0</v>
      </c>
      <c r="D625" s="91">
        <v>75400000</v>
      </c>
      <c r="E625" s="32"/>
      <c r="F625" s="88">
        <v>4</v>
      </c>
      <c r="G625" s="89" t="s">
        <v>52</v>
      </c>
      <c r="H625" s="89"/>
      <c r="I625" s="89" t="s">
        <v>53</v>
      </c>
      <c r="J625" s="89"/>
      <c r="K625" s="89" t="str">
        <f>"　"</f>
        <v>　</v>
      </c>
    </row>
    <row r="626" spans="1:14" ht="42.75" x14ac:dyDescent="0.25">
      <c r="A626" s="88">
        <v>108</v>
      </c>
      <c r="B626" s="89" t="s">
        <v>474</v>
      </c>
      <c r="C626" s="88" t="s">
        <v>0</v>
      </c>
      <c r="D626" s="89"/>
      <c r="E626" s="91">
        <v>13497</v>
      </c>
      <c r="F626" s="88">
        <v>4</v>
      </c>
      <c r="G626" s="89" t="s">
        <v>484</v>
      </c>
      <c r="H626" s="89" t="s">
        <v>481</v>
      </c>
      <c r="I626" s="89" t="s">
        <v>113</v>
      </c>
      <c r="J626" s="89" t="s">
        <v>482</v>
      </c>
      <c r="K626" s="89" t="s">
        <v>6644</v>
      </c>
    </row>
    <row r="627" spans="1:14" ht="57" x14ac:dyDescent="0.25">
      <c r="A627" s="88">
        <v>108</v>
      </c>
      <c r="B627" s="89" t="s">
        <v>477</v>
      </c>
      <c r="C627" s="88" t="s">
        <v>0</v>
      </c>
      <c r="D627" s="89"/>
      <c r="E627" s="91">
        <v>13497</v>
      </c>
      <c r="F627" s="88">
        <v>4</v>
      </c>
      <c r="G627" s="89" t="s">
        <v>483</v>
      </c>
      <c r="H627" s="89" t="s">
        <v>481</v>
      </c>
      <c r="I627" s="89" t="s">
        <v>113</v>
      </c>
      <c r="J627" s="89" t="s">
        <v>482</v>
      </c>
      <c r="K627" s="89" t="s">
        <v>6643</v>
      </c>
    </row>
    <row r="628" spans="1:14" ht="42.75" x14ac:dyDescent="0.25">
      <c r="A628" s="88">
        <v>108</v>
      </c>
      <c r="B628" s="89" t="s">
        <v>474</v>
      </c>
      <c r="C628" s="88" t="s">
        <v>0</v>
      </c>
      <c r="D628" s="89"/>
      <c r="E628" s="91">
        <v>7548</v>
      </c>
      <c r="F628" s="88">
        <v>4</v>
      </c>
      <c r="G628" s="89" t="s">
        <v>485</v>
      </c>
      <c r="H628" s="89" t="s">
        <v>486</v>
      </c>
      <c r="I628" s="89" t="s">
        <v>113</v>
      </c>
      <c r="J628" s="89" t="s">
        <v>482</v>
      </c>
      <c r="K628" s="89" t="s">
        <v>6642</v>
      </c>
    </row>
    <row r="629" spans="1:14" ht="71.25" x14ac:dyDescent="0.25">
      <c r="A629" s="88">
        <v>108</v>
      </c>
      <c r="B629" s="89" t="s">
        <v>487</v>
      </c>
      <c r="C629" s="88" t="s">
        <v>0</v>
      </c>
      <c r="D629" s="89"/>
      <c r="E629" s="91">
        <v>105164</v>
      </c>
      <c r="F629" s="88">
        <v>4</v>
      </c>
      <c r="G629" s="89" t="s">
        <v>5700</v>
      </c>
      <c r="H629" s="89" t="s">
        <v>488</v>
      </c>
      <c r="I629" s="89" t="s">
        <v>32</v>
      </c>
      <c r="J629" s="89" t="s">
        <v>294</v>
      </c>
      <c r="K629" s="89" t="str">
        <f>"00046807"</f>
        <v>00046807</v>
      </c>
    </row>
    <row r="630" spans="1:14" ht="57" x14ac:dyDescent="0.25">
      <c r="A630" s="88">
        <v>108</v>
      </c>
      <c r="B630" s="89" t="s">
        <v>489</v>
      </c>
      <c r="C630" s="88" t="s">
        <v>0</v>
      </c>
      <c r="D630" s="89"/>
      <c r="E630" s="91">
        <v>94256</v>
      </c>
      <c r="F630" s="88">
        <v>4</v>
      </c>
      <c r="G630" s="89" t="s">
        <v>5701</v>
      </c>
      <c r="H630" s="89" t="s">
        <v>490</v>
      </c>
      <c r="I630" s="89" t="s">
        <v>66</v>
      </c>
      <c r="J630" s="89" t="s">
        <v>99</v>
      </c>
      <c r="K630" s="89" t="s">
        <v>6641</v>
      </c>
    </row>
    <row r="631" spans="1:14" ht="57" x14ac:dyDescent="0.25">
      <c r="A631" s="88">
        <v>108</v>
      </c>
      <c r="B631" s="89" t="s">
        <v>477</v>
      </c>
      <c r="C631" s="88" t="s">
        <v>0</v>
      </c>
      <c r="D631" s="89"/>
      <c r="E631" s="91">
        <v>20626</v>
      </c>
      <c r="F631" s="88">
        <v>4</v>
      </c>
      <c r="G631" s="89" t="s">
        <v>478</v>
      </c>
      <c r="H631" s="89" t="s">
        <v>476</v>
      </c>
      <c r="I631" s="89" t="s">
        <v>152</v>
      </c>
      <c r="J631" s="89" t="s">
        <v>153</v>
      </c>
      <c r="K631" s="89" t="s">
        <v>5900</v>
      </c>
      <c r="N631" s="4"/>
    </row>
    <row r="632" spans="1:14" ht="42.75" x14ac:dyDescent="0.25">
      <c r="A632" s="88">
        <v>108</v>
      </c>
      <c r="B632" s="89" t="s">
        <v>479</v>
      </c>
      <c r="C632" s="88" t="s">
        <v>0</v>
      </c>
      <c r="D632" s="89"/>
      <c r="E632" s="91">
        <v>14677</v>
      </c>
      <c r="F632" s="88">
        <v>4</v>
      </c>
      <c r="G632" s="89" t="s">
        <v>480</v>
      </c>
      <c r="H632" s="89" t="s">
        <v>481</v>
      </c>
      <c r="I632" s="89" t="s">
        <v>113</v>
      </c>
      <c r="J632" s="89" t="s">
        <v>482</v>
      </c>
      <c r="K632" s="89" t="s">
        <v>6357</v>
      </c>
    </row>
    <row r="633" spans="1:14" ht="42.75" x14ac:dyDescent="0.25">
      <c r="A633" s="88">
        <v>108</v>
      </c>
      <c r="B633" s="89" t="s">
        <v>474</v>
      </c>
      <c r="C633" s="88" t="s">
        <v>0</v>
      </c>
      <c r="D633" s="89"/>
      <c r="E633" s="91">
        <v>23914</v>
      </c>
      <c r="F633" s="88">
        <v>4</v>
      </c>
      <c r="G633" s="89" t="s">
        <v>475</v>
      </c>
      <c r="H633" s="89" t="s">
        <v>476</v>
      </c>
      <c r="I633" s="89" t="s">
        <v>152</v>
      </c>
      <c r="J633" s="89" t="s">
        <v>153</v>
      </c>
      <c r="K633" s="89" t="s">
        <v>6358</v>
      </c>
    </row>
    <row r="634" spans="1:14" ht="42.75" x14ac:dyDescent="0.25">
      <c r="A634" s="88">
        <v>108</v>
      </c>
      <c r="B634" s="89" t="s">
        <v>2443</v>
      </c>
      <c r="C634" s="88" t="s">
        <v>0</v>
      </c>
      <c r="D634" s="89"/>
      <c r="E634" s="91">
        <v>81827</v>
      </c>
      <c r="F634" s="88">
        <v>4</v>
      </c>
      <c r="G634" s="89" t="s">
        <v>2444</v>
      </c>
      <c r="H634" s="89" t="s">
        <v>2445</v>
      </c>
      <c r="I634" s="89" t="s">
        <v>32</v>
      </c>
      <c r="J634" s="89" t="s">
        <v>2446</v>
      </c>
      <c r="K634" s="89" t="s">
        <v>6359</v>
      </c>
    </row>
    <row r="635" spans="1:14" ht="42.75" x14ac:dyDescent="0.25">
      <c r="A635" s="88">
        <v>108</v>
      </c>
      <c r="B635" s="89" t="s">
        <v>497</v>
      </c>
      <c r="C635" s="88" t="s">
        <v>0</v>
      </c>
      <c r="D635" s="89"/>
      <c r="E635" s="91">
        <v>14316</v>
      </c>
      <c r="F635" s="88">
        <v>4</v>
      </c>
      <c r="G635" s="89" t="s">
        <v>498</v>
      </c>
      <c r="H635" s="89" t="s">
        <v>495</v>
      </c>
      <c r="I635" s="89" t="s">
        <v>106</v>
      </c>
      <c r="J635" s="89" t="s">
        <v>496</v>
      </c>
      <c r="K635" s="89" t="s">
        <v>6360</v>
      </c>
    </row>
    <row r="636" spans="1:14" ht="71.25" x14ac:dyDescent="0.25">
      <c r="A636" s="88">
        <v>108</v>
      </c>
      <c r="B636" s="89" t="s">
        <v>493</v>
      </c>
      <c r="C636" s="88" t="s">
        <v>0</v>
      </c>
      <c r="D636" s="89"/>
      <c r="E636" s="91">
        <v>100000</v>
      </c>
      <c r="F636" s="88">
        <v>4</v>
      </c>
      <c r="G636" s="89" t="s">
        <v>494</v>
      </c>
      <c r="H636" s="89" t="s">
        <v>495</v>
      </c>
      <c r="I636" s="89" t="s">
        <v>106</v>
      </c>
      <c r="J636" s="89" t="s">
        <v>496</v>
      </c>
      <c r="K636" s="89" t="s">
        <v>6361</v>
      </c>
    </row>
    <row r="637" spans="1:14" ht="85.5" x14ac:dyDescent="0.25">
      <c r="A637" s="88">
        <v>108</v>
      </c>
      <c r="B637" s="89" t="s">
        <v>474</v>
      </c>
      <c r="C637" s="88" t="s">
        <v>0</v>
      </c>
      <c r="D637" s="89"/>
      <c r="E637" s="91">
        <v>40069</v>
      </c>
      <c r="F637" s="88">
        <v>4</v>
      </c>
      <c r="G637" s="89" t="s">
        <v>491</v>
      </c>
      <c r="H637" s="89" t="s">
        <v>323</v>
      </c>
      <c r="I637" s="89" t="s">
        <v>66</v>
      </c>
      <c r="J637" s="89" t="s">
        <v>492</v>
      </c>
      <c r="K637" s="89" t="str">
        <f>"00047236"</f>
        <v>00047236</v>
      </c>
    </row>
    <row r="638" spans="1:14" ht="57" x14ac:dyDescent="0.25">
      <c r="A638" s="88">
        <v>108</v>
      </c>
      <c r="B638" s="89" t="s">
        <v>474</v>
      </c>
      <c r="C638" s="88" t="s">
        <v>0</v>
      </c>
      <c r="D638" s="89"/>
      <c r="E638" s="91">
        <v>43457</v>
      </c>
      <c r="F638" s="88">
        <v>4</v>
      </c>
      <c r="G638" s="89" t="s">
        <v>499</v>
      </c>
      <c r="H638" s="89" t="s">
        <v>500</v>
      </c>
      <c r="I638" s="89" t="s">
        <v>61</v>
      </c>
      <c r="J638" s="89" t="s">
        <v>501</v>
      </c>
      <c r="K638" s="89" t="str">
        <f>"00047235"</f>
        <v>00047235</v>
      </c>
    </row>
    <row r="639" spans="1:14" ht="99.75" x14ac:dyDescent="0.25">
      <c r="A639" s="88">
        <v>108</v>
      </c>
      <c r="B639" s="89" t="s">
        <v>497</v>
      </c>
      <c r="C639" s="88" t="s">
        <v>0</v>
      </c>
      <c r="D639" s="89"/>
      <c r="E639" s="91">
        <v>75546</v>
      </c>
      <c r="F639" s="88">
        <v>4</v>
      </c>
      <c r="G639" s="89" t="s">
        <v>502</v>
      </c>
      <c r="H639" s="89" t="s">
        <v>503</v>
      </c>
      <c r="I639" s="89" t="s">
        <v>32</v>
      </c>
      <c r="J639" s="89" t="s">
        <v>6365</v>
      </c>
      <c r="K639" s="89" t="s">
        <v>6362</v>
      </c>
    </row>
    <row r="640" spans="1:14" ht="42.75" x14ac:dyDescent="0.25">
      <c r="A640" s="88">
        <v>108</v>
      </c>
      <c r="B640" s="89" t="s">
        <v>2433</v>
      </c>
      <c r="C640" s="88" t="s">
        <v>0</v>
      </c>
      <c r="D640" s="89"/>
      <c r="E640" s="91">
        <v>13408</v>
      </c>
      <c r="F640" s="88">
        <v>4</v>
      </c>
      <c r="G640" s="89" t="s">
        <v>2435</v>
      </c>
      <c r="H640" s="89" t="s">
        <v>2436</v>
      </c>
      <c r="I640" s="89" t="s">
        <v>80</v>
      </c>
      <c r="J640" s="89" t="s">
        <v>80</v>
      </c>
      <c r="K640" s="89" t="s">
        <v>6363</v>
      </c>
    </row>
    <row r="641" spans="1:11" ht="57" x14ac:dyDescent="0.25">
      <c r="A641" s="88">
        <v>108</v>
      </c>
      <c r="B641" s="89" t="s">
        <v>1164</v>
      </c>
      <c r="C641" s="88" t="s">
        <v>0</v>
      </c>
      <c r="D641" s="89"/>
      <c r="E641" s="91">
        <v>46810</v>
      </c>
      <c r="F641" s="88">
        <v>4</v>
      </c>
      <c r="G641" s="89" t="s">
        <v>2441</v>
      </c>
      <c r="H641" s="89" t="s">
        <v>2442</v>
      </c>
      <c r="I641" s="89" t="s">
        <v>66</v>
      </c>
      <c r="J641" s="89" t="s">
        <v>148</v>
      </c>
      <c r="K641" s="89" t="s">
        <v>6364</v>
      </c>
    </row>
    <row r="642" spans="1:11" ht="57" x14ac:dyDescent="0.25">
      <c r="A642" s="88">
        <v>108</v>
      </c>
      <c r="B642" s="89" t="s">
        <v>2437</v>
      </c>
      <c r="C642" s="88" t="s">
        <v>0</v>
      </c>
      <c r="D642" s="89"/>
      <c r="E642" s="91">
        <v>82141</v>
      </c>
      <c r="F642" s="88">
        <v>4</v>
      </c>
      <c r="G642" s="89" t="s">
        <v>2438</v>
      </c>
      <c r="H642" s="89" t="s">
        <v>2439</v>
      </c>
      <c r="I642" s="89" t="s">
        <v>17</v>
      </c>
      <c r="J642" s="89" t="s">
        <v>2440</v>
      </c>
      <c r="K642" s="89" t="str">
        <f>"00047959"</f>
        <v>00047959</v>
      </c>
    </row>
    <row r="643" spans="1:11" ht="71.25" x14ac:dyDescent="0.25">
      <c r="A643" s="88">
        <v>108</v>
      </c>
      <c r="B643" s="89" t="s">
        <v>2447</v>
      </c>
      <c r="C643" s="88" t="s">
        <v>0</v>
      </c>
      <c r="D643" s="89"/>
      <c r="E643" s="91">
        <v>100000</v>
      </c>
      <c r="F643" s="88">
        <v>4</v>
      </c>
      <c r="G643" s="89" t="s">
        <v>2448</v>
      </c>
      <c r="H643" s="89" t="s">
        <v>2449</v>
      </c>
      <c r="I643" s="89" t="s">
        <v>106</v>
      </c>
      <c r="J643" s="89" t="s">
        <v>2450</v>
      </c>
      <c r="K643" s="89" t="str">
        <f>"00048802"</f>
        <v>00048802</v>
      </c>
    </row>
    <row r="644" spans="1:11" ht="57" x14ac:dyDescent="0.25">
      <c r="A644" s="88">
        <v>108</v>
      </c>
      <c r="B644" s="89" t="s">
        <v>477</v>
      </c>
      <c r="C644" s="88" t="s">
        <v>0</v>
      </c>
      <c r="D644" s="89"/>
      <c r="E644" s="91">
        <v>76835</v>
      </c>
      <c r="F644" s="88">
        <v>4</v>
      </c>
      <c r="G644" s="89" t="s">
        <v>2474</v>
      </c>
      <c r="H644" s="89" t="s">
        <v>43</v>
      </c>
      <c r="I644" s="89" t="s">
        <v>32</v>
      </c>
      <c r="J644" s="89" t="s">
        <v>44</v>
      </c>
      <c r="K644" s="89" t="str">
        <f>"00047899"</f>
        <v>00047899</v>
      </c>
    </row>
    <row r="645" spans="1:11" ht="57" x14ac:dyDescent="0.25">
      <c r="A645" s="88">
        <v>108</v>
      </c>
      <c r="B645" s="89" t="s">
        <v>2475</v>
      </c>
      <c r="C645" s="88" t="s">
        <v>0</v>
      </c>
      <c r="D645" s="89"/>
      <c r="E645" s="91">
        <v>79652</v>
      </c>
      <c r="F645" s="88">
        <v>4</v>
      </c>
      <c r="G645" s="89" t="s">
        <v>2476</v>
      </c>
      <c r="H645" s="89" t="s">
        <v>2477</v>
      </c>
      <c r="I645" s="89" t="s">
        <v>173</v>
      </c>
      <c r="J645" s="89" t="s">
        <v>427</v>
      </c>
      <c r="K645" s="89" t="s">
        <v>6640</v>
      </c>
    </row>
    <row r="646" spans="1:11" ht="71.25" x14ac:dyDescent="0.25">
      <c r="A646" s="88">
        <v>108</v>
      </c>
      <c r="B646" s="89" t="s">
        <v>2433</v>
      </c>
      <c r="C646" s="88" t="s">
        <v>0</v>
      </c>
      <c r="D646" s="89"/>
      <c r="E646" s="91">
        <v>120065</v>
      </c>
      <c r="F646" s="88">
        <v>4</v>
      </c>
      <c r="G646" s="89" t="s">
        <v>2434</v>
      </c>
      <c r="H646" s="89" t="s">
        <v>35</v>
      </c>
      <c r="I646" s="89" t="s">
        <v>32</v>
      </c>
      <c r="J646" s="89" t="s">
        <v>294</v>
      </c>
      <c r="K646" s="89" t="s">
        <v>6639</v>
      </c>
    </row>
    <row r="647" spans="1:11" ht="85.5" x14ac:dyDescent="0.25">
      <c r="A647" s="88">
        <v>108</v>
      </c>
      <c r="B647" s="89" t="s">
        <v>2455</v>
      </c>
      <c r="C647" s="88" t="s">
        <v>0</v>
      </c>
      <c r="D647" s="89"/>
      <c r="E647" s="91">
        <v>78233</v>
      </c>
      <c r="F647" s="88">
        <v>4</v>
      </c>
      <c r="G647" s="89" t="s">
        <v>2456</v>
      </c>
      <c r="H647" s="89" t="s">
        <v>2457</v>
      </c>
      <c r="I647" s="89" t="s">
        <v>1315</v>
      </c>
      <c r="J647" s="89" t="s">
        <v>2458</v>
      </c>
      <c r="K647" s="89" t="s">
        <v>6637</v>
      </c>
    </row>
    <row r="648" spans="1:11" ht="71.25" x14ac:dyDescent="0.25">
      <c r="A648" s="88">
        <v>108</v>
      </c>
      <c r="B648" s="89" t="s">
        <v>1160</v>
      </c>
      <c r="C648" s="88" t="s">
        <v>0</v>
      </c>
      <c r="D648" s="89"/>
      <c r="E648" s="91">
        <v>57862</v>
      </c>
      <c r="F648" s="88">
        <v>4</v>
      </c>
      <c r="G648" s="89" t="s">
        <v>2467</v>
      </c>
      <c r="H648" s="89" t="s">
        <v>2468</v>
      </c>
      <c r="I648" s="89" t="s">
        <v>66</v>
      </c>
      <c r="J648" s="89" t="s">
        <v>2469</v>
      </c>
      <c r="K648" s="89" t="s">
        <v>6636</v>
      </c>
    </row>
    <row r="649" spans="1:11" ht="71.25" x14ac:dyDescent="0.25">
      <c r="A649" s="88">
        <v>108</v>
      </c>
      <c r="B649" s="89" t="s">
        <v>2451</v>
      </c>
      <c r="C649" s="88" t="s">
        <v>0</v>
      </c>
      <c r="D649" s="89"/>
      <c r="E649" s="91">
        <v>91700</v>
      </c>
      <c r="F649" s="88">
        <v>4</v>
      </c>
      <c r="G649" s="89" t="s">
        <v>2452</v>
      </c>
      <c r="H649" s="89" t="s">
        <v>2453</v>
      </c>
      <c r="I649" s="89" t="s">
        <v>1041</v>
      </c>
      <c r="J649" s="89" t="s">
        <v>2454</v>
      </c>
      <c r="K649" s="89" t="s">
        <v>6638</v>
      </c>
    </row>
    <row r="650" spans="1:11" ht="128.25" x14ac:dyDescent="0.25">
      <c r="A650" s="88">
        <v>108</v>
      </c>
      <c r="B650" s="89" t="s">
        <v>2459</v>
      </c>
      <c r="C650" s="88" t="s">
        <v>0</v>
      </c>
      <c r="D650" s="89"/>
      <c r="E650" s="91">
        <v>158677</v>
      </c>
      <c r="F650" s="88">
        <v>4</v>
      </c>
      <c r="G650" s="89" t="s">
        <v>2460</v>
      </c>
      <c r="H650" s="89" t="s">
        <v>2461</v>
      </c>
      <c r="I650" s="89" t="s">
        <v>32</v>
      </c>
      <c r="J650" s="89" t="s">
        <v>2462</v>
      </c>
      <c r="K650" s="89" t="s">
        <v>6635</v>
      </c>
    </row>
    <row r="651" spans="1:11" ht="71.25" x14ac:dyDescent="0.25">
      <c r="A651" s="88">
        <v>108</v>
      </c>
      <c r="B651" s="89" t="s">
        <v>2451</v>
      </c>
      <c r="C651" s="88" t="s">
        <v>0</v>
      </c>
      <c r="D651" s="89"/>
      <c r="E651" s="91">
        <v>69664</v>
      </c>
      <c r="F651" s="88">
        <v>4</v>
      </c>
      <c r="G651" s="89" t="s">
        <v>2452</v>
      </c>
      <c r="H651" s="89" t="s">
        <v>2453</v>
      </c>
      <c r="I651" s="89" t="s">
        <v>1041</v>
      </c>
      <c r="J651" s="89" t="s">
        <v>2454</v>
      </c>
      <c r="K651" s="89" t="str">
        <f>"00047872"</f>
        <v>00047872</v>
      </c>
    </row>
    <row r="652" spans="1:11" ht="71.25" x14ac:dyDescent="0.25">
      <c r="A652" s="88">
        <v>108</v>
      </c>
      <c r="B652" s="89" t="s">
        <v>2478</v>
      </c>
      <c r="C652" s="88" t="s">
        <v>0</v>
      </c>
      <c r="D652" s="89"/>
      <c r="E652" s="91">
        <v>20000</v>
      </c>
      <c r="F652" s="88">
        <v>4</v>
      </c>
      <c r="G652" s="89" t="s">
        <v>2452</v>
      </c>
      <c r="H652" s="89" t="s">
        <v>2453</v>
      </c>
      <c r="I652" s="89" t="s">
        <v>1041</v>
      </c>
      <c r="J652" s="89" t="s">
        <v>2454</v>
      </c>
      <c r="K652" s="89" t="str">
        <f>"00047872"</f>
        <v>00047872</v>
      </c>
    </row>
    <row r="653" spans="1:11" ht="99.75" x14ac:dyDescent="0.25">
      <c r="A653" s="88">
        <v>108</v>
      </c>
      <c r="B653" s="89" t="s">
        <v>474</v>
      </c>
      <c r="C653" s="88" t="s">
        <v>0</v>
      </c>
      <c r="D653" s="89"/>
      <c r="E653" s="91">
        <v>28292</v>
      </c>
      <c r="F653" s="88">
        <v>4</v>
      </c>
      <c r="G653" s="89" t="s">
        <v>2470</v>
      </c>
      <c r="H653" s="89" t="s">
        <v>2471</v>
      </c>
      <c r="I653" s="89" t="s">
        <v>2472</v>
      </c>
      <c r="J653" s="89" t="s">
        <v>2473</v>
      </c>
      <c r="K653" s="89" t="str">
        <f>"00050253"</f>
        <v>00050253</v>
      </c>
    </row>
    <row r="654" spans="1:11" ht="42.75" x14ac:dyDescent="0.25">
      <c r="A654" s="88">
        <v>108</v>
      </c>
      <c r="B654" s="89" t="s">
        <v>2463</v>
      </c>
      <c r="C654" s="88" t="s">
        <v>0</v>
      </c>
      <c r="D654" s="89"/>
      <c r="E654" s="91">
        <v>75844</v>
      </c>
      <c r="F654" s="88">
        <v>4</v>
      </c>
      <c r="G654" s="19" t="s">
        <v>2464</v>
      </c>
      <c r="H654" s="89" t="s">
        <v>2465</v>
      </c>
      <c r="I654" s="89" t="s">
        <v>849</v>
      </c>
      <c r="J654" s="89" t="s">
        <v>2466</v>
      </c>
      <c r="K654" s="89" t="s">
        <v>6366</v>
      </c>
    </row>
    <row r="655" spans="1:11" ht="71.25" x14ac:dyDescent="0.25">
      <c r="A655" s="88">
        <v>108</v>
      </c>
      <c r="B655" s="89" t="s">
        <v>1164</v>
      </c>
      <c r="C655" s="88" t="s">
        <v>0</v>
      </c>
      <c r="D655" s="89"/>
      <c r="E655" s="91">
        <v>112775</v>
      </c>
      <c r="F655" s="88">
        <v>4</v>
      </c>
      <c r="G655" s="89" t="s">
        <v>5702</v>
      </c>
      <c r="H655" s="89" t="s">
        <v>2479</v>
      </c>
      <c r="I655" s="89" t="s">
        <v>849</v>
      </c>
      <c r="J655" s="89" t="s">
        <v>1532</v>
      </c>
      <c r="K655" s="89" t="s">
        <v>6367</v>
      </c>
    </row>
    <row r="656" spans="1:11" ht="42.75" x14ac:dyDescent="0.25">
      <c r="A656" s="88">
        <v>108</v>
      </c>
      <c r="B656" s="89" t="s">
        <v>2480</v>
      </c>
      <c r="C656" s="88" t="s">
        <v>0</v>
      </c>
      <c r="D656" s="89"/>
      <c r="E656" s="91">
        <v>44125</v>
      </c>
      <c r="F656" s="88">
        <v>4</v>
      </c>
      <c r="G656" s="89" t="s">
        <v>2481</v>
      </c>
      <c r="H656" s="89" t="s">
        <v>2482</v>
      </c>
      <c r="I656" s="89" t="s">
        <v>66</v>
      </c>
      <c r="J656" s="89" t="s">
        <v>99</v>
      </c>
      <c r="K656" s="89" t="s">
        <v>6368</v>
      </c>
    </row>
    <row r="657" spans="1:11" s="17" customFormat="1" ht="42.75" x14ac:dyDescent="0.25">
      <c r="A657" s="92">
        <v>108</v>
      </c>
      <c r="B657" s="11" t="s">
        <v>2495</v>
      </c>
      <c r="C657" s="92" t="s">
        <v>0</v>
      </c>
      <c r="D657" s="11"/>
      <c r="E657" s="102">
        <v>50000</v>
      </c>
      <c r="F657" s="92">
        <v>4</v>
      </c>
      <c r="G657" s="11" t="s">
        <v>2496</v>
      </c>
      <c r="H657" s="89" t="s">
        <v>2497</v>
      </c>
      <c r="I657" s="11" t="s">
        <v>32</v>
      </c>
      <c r="J657" s="11" t="s">
        <v>84</v>
      </c>
      <c r="K657" s="11" t="str">
        <f>"00052666"</f>
        <v>00052666</v>
      </c>
    </row>
    <row r="658" spans="1:11" ht="57" x14ac:dyDescent="0.25">
      <c r="A658" s="88">
        <v>108</v>
      </c>
      <c r="B658" s="89" t="s">
        <v>477</v>
      </c>
      <c r="C658" s="88" t="s">
        <v>0</v>
      </c>
      <c r="D658" s="89"/>
      <c r="E658" s="91">
        <v>79579</v>
      </c>
      <c r="F658" s="88">
        <v>4</v>
      </c>
      <c r="G658" s="19" t="s">
        <v>2485</v>
      </c>
      <c r="H658" s="89" t="s">
        <v>2486</v>
      </c>
      <c r="I658" s="89" t="s">
        <v>242</v>
      </c>
      <c r="J658" s="89" t="s">
        <v>243</v>
      </c>
      <c r="K658" s="89" t="s">
        <v>6369</v>
      </c>
    </row>
    <row r="659" spans="1:11" ht="71.25" x14ac:dyDescent="0.25">
      <c r="A659" s="88">
        <v>108</v>
      </c>
      <c r="B659" s="89" t="s">
        <v>2455</v>
      </c>
      <c r="C659" s="88" t="s">
        <v>0</v>
      </c>
      <c r="D659" s="89"/>
      <c r="E659" s="91">
        <v>39316</v>
      </c>
      <c r="F659" s="88">
        <v>4</v>
      </c>
      <c r="G659" s="89" t="s">
        <v>5703</v>
      </c>
      <c r="H659" s="89" t="s">
        <v>2487</v>
      </c>
      <c r="I659" s="89" t="s">
        <v>66</v>
      </c>
      <c r="J659" s="89" t="s">
        <v>2488</v>
      </c>
      <c r="K659" s="89" t="s">
        <v>6370</v>
      </c>
    </row>
    <row r="660" spans="1:11" ht="42.75" x14ac:dyDescent="0.25">
      <c r="A660" s="88">
        <v>108</v>
      </c>
      <c r="B660" s="89" t="s">
        <v>2483</v>
      </c>
      <c r="C660" s="88" t="s">
        <v>0</v>
      </c>
      <c r="D660" s="89"/>
      <c r="E660" s="91">
        <v>64560</v>
      </c>
      <c r="F660" s="88">
        <v>4</v>
      </c>
      <c r="G660" s="89" t="s">
        <v>5747</v>
      </c>
      <c r="H660" s="89" t="s">
        <v>2484</v>
      </c>
      <c r="I660" s="89" t="s">
        <v>185</v>
      </c>
      <c r="J660" s="89" t="s">
        <v>1510</v>
      </c>
      <c r="K660" s="89" t="str">
        <f>"00048594"</f>
        <v>00048594</v>
      </c>
    </row>
    <row r="661" spans="1:11" ht="57" x14ac:dyDescent="0.25">
      <c r="A661" s="88">
        <v>108</v>
      </c>
      <c r="B661" s="89" t="s">
        <v>1160</v>
      </c>
      <c r="C661" s="88" t="s">
        <v>0</v>
      </c>
      <c r="D661" s="89"/>
      <c r="E661" s="91">
        <v>37970</v>
      </c>
      <c r="F661" s="88">
        <v>4</v>
      </c>
      <c r="G661" s="89" t="s">
        <v>2490</v>
      </c>
      <c r="H661" s="89" t="s">
        <v>2491</v>
      </c>
      <c r="I661" s="89" t="s">
        <v>94</v>
      </c>
      <c r="J661" s="89" t="s">
        <v>557</v>
      </c>
      <c r="K661" s="89" t="s">
        <v>6371</v>
      </c>
    </row>
    <row r="662" spans="1:11" ht="57" x14ac:dyDescent="0.25">
      <c r="A662" s="88">
        <v>108</v>
      </c>
      <c r="B662" s="89" t="s">
        <v>2492</v>
      </c>
      <c r="C662" s="88" t="s">
        <v>0</v>
      </c>
      <c r="D662" s="89"/>
      <c r="E662" s="91">
        <v>8103</v>
      </c>
      <c r="F662" s="88">
        <v>4</v>
      </c>
      <c r="G662" s="89" t="s">
        <v>2493</v>
      </c>
      <c r="H662" s="89" t="s">
        <v>2494</v>
      </c>
      <c r="I662" s="89" t="s">
        <v>32</v>
      </c>
      <c r="J662" s="89" t="s">
        <v>84</v>
      </c>
      <c r="K662" s="89" t="str">
        <f>"00052456"</f>
        <v>00052456</v>
      </c>
    </row>
    <row r="663" spans="1:11" ht="42.75" x14ac:dyDescent="0.25">
      <c r="A663" s="88">
        <v>108</v>
      </c>
      <c r="B663" s="89" t="s">
        <v>1164</v>
      </c>
      <c r="C663" s="88" t="s">
        <v>0</v>
      </c>
      <c r="D663" s="89"/>
      <c r="E663" s="91">
        <v>121864</v>
      </c>
      <c r="F663" s="88">
        <v>4</v>
      </c>
      <c r="G663" s="19" t="s">
        <v>2489</v>
      </c>
      <c r="H663" s="89" t="s">
        <v>1615</v>
      </c>
      <c r="I663" s="89" t="s">
        <v>1582</v>
      </c>
      <c r="J663" s="19" t="s">
        <v>1583</v>
      </c>
      <c r="K663" s="89" t="s">
        <v>5903</v>
      </c>
    </row>
    <row r="664" spans="1:11" ht="42.75" x14ac:dyDescent="0.25">
      <c r="A664" s="88">
        <v>108</v>
      </c>
      <c r="B664" s="89" t="s">
        <v>2480</v>
      </c>
      <c r="C664" s="88" t="s">
        <v>0</v>
      </c>
      <c r="D664" s="89"/>
      <c r="E664" s="91">
        <v>2199</v>
      </c>
      <c r="F664" s="88">
        <v>4</v>
      </c>
      <c r="G664" s="89" t="s">
        <v>5704</v>
      </c>
      <c r="H664" s="89" t="s">
        <v>2479</v>
      </c>
      <c r="I664" s="89" t="s">
        <v>849</v>
      </c>
      <c r="J664" s="89" t="s">
        <v>1532</v>
      </c>
      <c r="K664" s="89" t="s">
        <v>5902</v>
      </c>
    </row>
    <row r="665" spans="1:11" ht="71.25" x14ac:dyDescent="0.25">
      <c r="A665" s="88">
        <v>108</v>
      </c>
      <c r="B665" s="89" t="s">
        <v>5705</v>
      </c>
      <c r="C665" s="88" t="s">
        <v>0</v>
      </c>
      <c r="D665" s="89"/>
      <c r="E665" s="91">
        <v>29448</v>
      </c>
      <c r="F665" s="88">
        <v>4</v>
      </c>
      <c r="G665" s="89" t="s">
        <v>2498</v>
      </c>
      <c r="H665" s="89" t="s">
        <v>1535</v>
      </c>
      <c r="I665" s="89" t="s">
        <v>242</v>
      </c>
      <c r="J665" s="89" t="s">
        <v>1403</v>
      </c>
      <c r="K665" s="89" t="s">
        <v>5901</v>
      </c>
    </row>
    <row r="666" spans="1:11" ht="57" x14ac:dyDescent="0.25">
      <c r="A666" s="88">
        <v>108</v>
      </c>
      <c r="B666" s="89" t="s">
        <v>2499</v>
      </c>
      <c r="C666" s="88" t="s">
        <v>0</v>
      </c>
      <c r="D666" s="89"/>
      <c r="E666" s="91">
        <v>39704</v>
      </c>
      <c r="F666" s="88">
        <v>4</v>
      </c>
      <c r="G666" s="89" t="s">
        <v>2499</v>
      </c>
      <c r="H666" s="89" t="s">
        <v>1535</v>
      </c>
      <c r="I666" s="89" t="s">
        <v>242</v>
      </c>
      <c r="J666" s="89" t="s">
        <v>1403</v>
      </c>
      <c r="K666" s="89" t="s">
        <v>6372</v>
      </c>
    </row>
    <row r="667" spans="1:11" ht="57" x14ac:dyDescent="0.25">
      <c r="A667" s="88">
        <v>108</v>
      </c>
      <c r="B667" s="89" t="s">
        <v>2499</v>
      </c>
      <c r="C667" s="88" t="s">
        <v>0</v>
      </c>
      <c r="D667" s="89"/>
      <c r="E667" s="91">
        <v>36348</v>
      </c>
      <c r="F667" s="88">
        <v>4</v>
      </c>
      <c r="G667" s="89" t="s">
        <v>2499</v>
      </c>
      <c r="H667" s="89" t="s">
        <v>1535</v>
      </c>
      <c r="I667" s="89" t="s">
        <v>242</v>
      </c>
      <c r="J667" s="89" t="s">
        <v>1403</v>
      </c>
      <c r="K667" s="89" t="s">
        <v>6373</v>
      </c>
    </row>
    <row r="668" spans="1:11" ht="57" x14ac:dyDescent="0.25">
      <c r="A668" s="88">
        <v>108</v>
      </c>
      <c r="B668" s="89" t="s">
        <v>2500</v>
      </c>
      <c r="C668" s="88" t="s">
        <v>0</v>
      </c>
      <c r="D668" s="89"/>
      <c r="E668" s="91">
        <v>66880</v>
      </c>
      <c r="F668" s="88">
        <v>4</v>
      </c>
      <c r="G668" s="89" t="s">
        <v>2501</v>
      </c>
      <c r="H668" s="89" t="s">
        <v>2502</v>
      </c>
      <c r="I668" s="89" t="s">
        <v>185</v>
      </c>
      <c r="J668" s="89" t="s">
        <v>2503</v>
      </c>
      <c r="K668" s="89" t="s">
        <v>6374</v>
      </c>
    </row>
    <row r="669" spans="1:11" ht="42.75" x14ac:dyDescent="0.25">
      <c r="A669" s="88">
        <v>108</v>
      </c>
      <c r="B669" s="89" t="s">
        <v>4329</v>
      </c>
      <c r="C669" s="88" t="s">
        <v>0</v>
      </c>
      <c r="D669" s="89"/>
      <c r="E669" s="91">
        <v>30000</v>
      </c>
      <c r="F669" s="88">
        <v>4</v>
      </c>
      <c r="G669" s="89" t="s">
        <v>4330</v>
      </c>
      <c r="H669" s="89" t="s">
        <v>4331</v>
      </c>
      <c r="I669" s="89" t="s">
        <v>80</v>
      </c>
      <c r="J669" s="89" t="s">
        <v>80</v>
      </c>
      <c r="K669" s="89" t="str">
        <f>"00047642"</f>
        <v>00047642</v>
      </c>
    </row>
    <row r="670" spans="1:11" ht="42.75" x14ac:dyDescent="0.25">
      <c r="A670" s="88">
        <v>108</v>
      </c>
      <c r="B670" s="89" t="s">
        <v>4448</v>
      </c>
      <c r="C670" s="88" t="s">
        <v>0</v>
      </c>
      <c r="D670" s="89"/>
      <c r="E670" s="91">
        <v>60000</v>
      </c>
      <c r="F670" s="88">
        <v>4</v>
      </c>
      <c r="G670" s="89" t="s">
        <v>4449</v>
      </c>
      <c r="H670" s="89" t="s">
        <v>1520</v>
      </c>
      <c r="I670" s="89" t="s">
        <v>94</v>
      </c>
      <c r="J670" s="89" t="s">
        <v>1521</v>
      </c>
      <c r="K670" s="89" t="str">
        <f>"00049265"</f>
        <v>00049265</v>
      </c>
    </row>
    <row r="671" spans="1:11" ht="42.75" x14ac:dyDescent="0.25">
      <c r="A671" s="88">
        <v>108</v>
      </c>
      <c r="B671" s="89" t="s">
        <v>4407</v>
      </c>
      <c r="C671" s="88" t="s">
        <v>0</v>
      </c>
      <c r="D671" s="89"/>
      <c r="E671" s="91">
        <v>36000</v>
      </c>
      <c r="F671" s="88">
        <v>4</v>
      </c>
      <c r="G671" s="89" t="s">
        <v>4407</v>
      </c>
      <c r="H671" s="89" t="s">
        <v>4408</v>
      </c>
      <c r="I671" s="89" t="s">
        <v>32</v>
      </c>
      <c r="J671" s="89" t="s">
        <v>393</v>
      </c>
      <c r="K671" s="89" t="str">
        <f>"00052234"</f>
        <v>00052234</v>
      </c>
    </row>
    <row r="672" spans="1:11" ht="42.75" x14ac:dyDescent="0.25">
      <c r="A672" s="88">
        <v>108</v>
      </c>
      <c r="B672" s="89" t="s">
        <v>4448</v>
      </c>
      <c r="C672" s="88" t="s">
        <v>0</v>
      </c>
      <c r="D672" s="89"/>
      <c r="E672" s="91">
        <v>35000</v>
      </c>
      <c r="F672" s="88">
        <v>4</v>
      </c>
      <c r="G672" s="89" t="s">
        <v>4449</v>
      </c>
      <c r="H672" s="89" t="s">
        <v>4450</v>
      </c>
      <c r="I672" s="89" t="s">
        <v>94</v>
      </c>
      <c r="J672" s="89" t="s">
        <v>1521</v>
      </c>
      <c r="K672" s="89" t="str">
        <f>"00049282"</f>
        <v>00049282</v>
      </c>
    </row>
    <row r="673" spans="1:11" ht="42.75" x14ac:dyDescent="0.25">
      <c r="A673" s="88">
        <v>108</v>
      </c>
      <c r="B673" s="89" t="s">
        <v>4448</v>
      </c>
      <c r="C673" s="88" t="s">
        <v>0</v>
      </c>
      <c r="D673" s="89"/>
      <c r="E673" s="91">
        <v>45000</v>
      </c>
      <c r="F673" s="88">
        <v>4</v>
      </c>
      <c r="G673" s="89" t="s">
        <v>4449</v>
      </c>
      <c r="H673" s="89" t="s">
        <v>4450</v>
      </c>
      <c r="I673" s="89" t="s">
        <v>94</v>
      </c>
      <c r="J673" s="89" t="s">
        <v>1521</v>
      </c>
      <c r="K673" s="89" t="str">
        <f>"00049266"</f>
        <v>00049266</v>
      </c>
    </row>
    <row r="674" spans="1:11" ht="71.25" x14ac:dyDescent="0.25">
      <c r="A674" s="88">
        <v>108</v>
      </c>
      <c r="B674" s="89" t="s">
        <v>4525</v>
      </c>
      <c r="C674" s="88" t="s">
        <v>0</v>
      </c>
      <c r="D674" s="89"/>
      <c r="E674" s="91">
        <v>30000</v>
      </c>
      <c r="F674" s="88">
        <v>4</v>
      </c>
      <c r="G674" s="89" t="s">
        <v>5706</v>
      </c>
      <c r="H674" s="89" t="s">
        <v>2825</v>
      </c>
      <c r="I674" s="89" t="s">
        <v>66</v>
      </c>
      <c r="J674" s="89" t="s">
        <v>4526</v>
      </c>
      <c r="K674" s="89" t="str">
        <f>"00051702"</f>
        <v>00051702</v>
      </c>
    </row>
    <row r="675" spans="1:11" x14ac:dyDescent="0.25">
      <c r="A675" s="88">
        <v>108</v>
      </c>
      <c r="B675" s="89" t="s">
        <v>26</v>
      </c>
      <c r="C675" s="88" t="s">
        <v>0</v>
      </c>
      <c r="D675" s="94">
        <v>70119</v>
      </c>
      <c r="E675" s="32"/>
      <c r="F675" s="88">
        <v>4</v>
      </c>
      <c r="G675" s="89" t="s">
        <v>37</v>
      </c>
      <c r="H675" s="89"/>
      <c r="I675" s="89" t="s">
        <v>48</v>
      </c>
      <c r="J675" s="89"/>
      <c r="K675" s="89" t="str">
        <f>"　"</f>
        <v>　</v>
      </c>
    </row>
    <row r="676" spans="1:11" ht="71.25" x14ac:dyDescent="0.25">
      <c r="A676" s="88">
        <v>108</v>
      </c>
      <c r="B676" s="89" t="s">
        <v>26</v>
      </c>
      <c r="C676" s="88" t="s">
        <v>0</v>
      </c>
      <c r="D676" s="89"/>
      <c r="E676" s="91">
        <v>70119</v>
      </c>
      <c r="F676" s="88">
        <v>4</v>
      </c>
      <c r="G676" s="89" t="s">
        <v>5707</v>
      </c>
      <c r="H676" s="89" t="s">
        <v>1469</v>
      </c>
      <c r="I676" s="89" t="s">
        <v>66</v>
      </c>
      <c r="J676" s="89" t="s">
        <v>125</v>
      </c>
      <c r="K676" s="89" t="str">
        <f>"00051951"</f>
        <v>00051951</v>
      </c>
    </row>
    <row r="677" spans="1:11" x14ac:dyDescent="0.25">
      <c r="A677" s="88">
        <v>108</v>
      </c>
      <c r="B677" s="89" t="s">
        <v>26</v>
      </c>
      <c r="C677" s="88" t="s">
        <v>0</v>
      </c>
      <c r="D677" s="94">
        <v>99749</v>
      </c>
      <c r="E677" s="28"/>
      <c r="F677" s="88">
        <v>4</v>
      </c>
      <c r="G677" s="89" t="s">
        <v>37</v>
      </c>
      <c r="H677" s="89"/>
      <c r="I677" s="89" t="s">
        <v>38</v>
      </c>
      <c r="J677" s="89"/>
      <c r="K677" s="89" t="str">
        <f>"　"</f>
        <v>　</v>
      </c>
    </row>
    <row r="678" spans="1:11" ht="85.5" x14ac:dyDescent="0.25">
      <c r="A678" s="88">
        <v>108</v>
      </c>
      <c r="B678" s="89" t="s">
        <v>26</v>
      </c>
      <c r="C678" s="88" t="s">
        <v>0</v>
      </c>
      <c r="D678" s="89"/>
      <c r="E678" s="91">
        <v>99749</v>
      </c>
      <c r="F678" s="88">
        <v>4</v>
      </c>
      <c r="G678" s="89" t="s">
        <v>3301</v>
      </c>
      <c r="H678" s="89" t="s">
        <v>3302</v>
      </c>
      <c r="I678" s="89" t="s">
        <v>3303</v>
      </c>
      <c r="J678" s="89" t="s">
        <v>3304</v>
      </c>
      <c r="K678" s="89" t="str">
        <f>"00051987"</f>
        <v>00051987</v>
      </c>
    </row>
    <row r="679" spans="1:11" x14ac:dyDescent="0.25">
      <c r="A679" s="88">
        <v>108</v>
      </c>
      <c r="B679" s="89" t="s">
        <v>26</v>
      </c>
      <c r="C679" s="88" t="s">
        <v>0</v>
      </c>
      <c r="D679" s="94">
        <v>70132</v>
      </c>
      <c r="E679" s="28"/>
      <c r="F679" s="88">
        <v>4</v>
      </c>
      <c r="G679" s="89" t="s">
        <v>37</v>
      </c>
      <c r="H679" s="89"/>
      <c r="I679" s="89" t="s">
        <v>49</v>
      </c>
      <c r="J679" s="89"/>
      <c r="K679" s="89" t="str">
        <f>"　"</f>
        <v>　</v>
      </c>
    </row>
    <row r="680" spans="1:11" ht="85.5" x14ac:dyDescent="0.25">
      <c r="A680" s="88">
        <v>108</v>
      </c>
      <c r="B680" s="89" t="s">
        <v>26</v>
      </c>
      <c r="C680" s="88" t="s">
        <v>0</v>
      </c>
      <c r="D680" s="89"/>
      <c r="E680" s="91">
        <v>70132</v>
      </c>
      <c r="F680" s="88">
        <v>4</v>
      </c>
      <c r="G680" s="89" t="s">
        <v>3305</v>
      </c>
      <c r="H680" s="89" t="s">
        <v>3302</v>
      </c>
      <c r="I680" s="89" t="s">
        <v>3303</v>
      </c>
      <c r="J680" s="89" t="s">
        <v>3304</v>
      </c>
      <c r="K680" s="89" t="str">
        <f>"00051987"</f>
        <v>00051987</v>
      </c>
    </row>
    <row r="681" spans="1:11" ht="28.5" x14ac:dyDescent="0.25">
      <c r="A681" s="88">
        <v>108</v>
      </c>
      <c r="B681" s="89" t="s">
        <v>12</v>
      </c>
      <c r="C681" s="88" t="s">
        <v>0</v>
      </c>
      <c r="D681" s="94">
        <v>60000</v>
      </c>
      <c r="E681" s="91"/>
      <c r="F681" s="88">
        <v>4</v>
      </c>
      <c r="G681" s="89" t="s">
        <v>828</v>
      </c>
      <c r="H681" s="89"/>
      <c r="I681" s="89" t="s">
        <v>5407</v>
      </c>
      <c r="J681" s="89"/>
      <c r="K681" s="89" t="str">
        <f>"　"</f>
        <v>　</v>
      </c>
    </row>
    <row r="682" spans="1:11" ht="71.25" x14ac:dyDescent="0.25">
      <c r="A682" s="88">
        <v>108</v>
      </c>
      <c r="B682" s="89" t="s">
        <v>12</v>
      </c>
      <c r="C682" s="88" t="s">
        <v>0</v>
      </c>
      <c r="D682" s="89"/>
      <c r="E682" s="91">
        <v>27269</v>
      </c>
      <c r="F682" s="88">
        <v>4</v>
      </c>
      <c r="G682" s="89" t="s">
        <v>829</v>
      </c>
      <c r="H682" s="89" t="s">
        <v>324</v>
      </c>
      <c r="I682" s="89" t="s">
        <v>66</v>
      </c>
      <c r="J682" s="89" t="s">
        <v>830</v>
      </c>
      <c r="K682" s="89" t="str">
        <f>"00047479"</f>
        <v>00047479</v>
      </c>
    </row>
    <row r="683" spans="1:11" ht="28.5" x14ac:dyDescent="0.25">
      <c r="A683" s="88">
        <v>108</v>
      </c>
      <c r="B683" s="89" t="s">
        <v>12</v>
      </c>
      <c r="C683" s="88" t="s">
        <v>0</v>
      </c>
      <c r="D683" s="91">
        <v>75400000</v>
      </c>
      <c r="E683" s="28"/>
      <c r="F683" s="88">
        <v>4</v>
      </c>
      <c r="G683" s="89" t="s">
        <v>52</v>
      </c>
      <c r="H683" s="89"/>
      <c r="I683" s="89" t="s">
        <v>53</v>
      </c>
      <c r="J683" s="89"/>
      <c r="K683" s="89" t="s">
        <v>5406</v>
      </c>
    </row>
    <row r="684" spans="1:11" ht="71.25" x14ac:dyDescent="0.25">
      <c r="A684" s="88">
        <v>108</v>
      </c>
      <c r="B684" s="89" t="s">
        <v>543</v>
      </c>
      <c r="C684" s="88" t="s">
        <v>0</v>
      </c>
      <c r="D684" s="89"/>
      <c r="E684" s="91">
        <v>83953</v>
      </c>
      <c r="F684" s="88">
        <v>4</v>
      </c>
      <c r="G684" s="89" t="s">
        <v>544</v>
      </c>
      <c r="H684" s="89" t="s">
        <v>545</v>
      </c>
      <c r="I684" s="89" t="s">
        <v>209</v>
      </c>
      <c r="J684" s="89" t="s">
        <v>546</v>
      </c>
      <c r="K684" s="89" t="str">
        <f>"00046624"</f>
        <v>00046624</v>
      </c>
    </row>
    <row r="685" spans="1:11" ht="71.25" x14ac:dyDescent="0.25">
      <c r="A685" s="88">
        <v>108</v>
      </c>
      <c r="B685" s="89" t="s">
        <v>538</v>
      </c>
      <c r="C685" s="88" t="s">
        <v>0</v>
      </c>
      <c r="D685" s="89"/>
      <c r="E685" s="91">
        <v>125000</v>
      </c>
      <c r="F685" s="88">
        <v>4</v>
      </c>
      <c r="G685" s="89" t="s">
        <v>2584</v>
      </c>
      <c r="H685" s="89" t="s">
        <v>539</v>
      </c>
      <c r="I685" s="89" t="s">
        <v>237</v>
      </c>
      <c r="J685" s="89" t="s">
        <v>540</v>
      </c>
      <c r="K685" s="89" t="str">
        <f>"00048382"</f>
        <v>00048382</v>
      </c>
    </row>
    <row r="686" spans="1:11" ht="57" x14ac:dyDescent="0.25">
      <c r="A686" s="88">
        <v>108</v>
      </c>
      <c r="B686" s="89" t="s">
        <v>530</v>
      </c>
      <c r="C686" s="88" t="s">
        <v>0</v>
      </c>
      <c r="D686" s="89"/>
      <c r="E686" s="91">
        <v>18000</v>
      </c>
      <c r="F686" s="88">
        <v>4</v>
      </c>
      <c r="G686" s="89" t="s">
        <v>531</v>
      </c>
      <c r="H686" s="89" t="s">
        <v>533</v>
      </c>
      <c r="I686" s="89" t="s">
        <v>94</v>
      </c>
      <c r="J686" s="89" t="s">
        <v>355</v>
      </c>
      <c r="K686" s="89" t="str">
        <f>"00049246"</f>
        <v>00049246</v>
      </c>
    </row>
    <row r="687" spans="1:11" ht="57" x14ac:dyDescent="0.25">
      <c r="A687" s="88">
        <v>108</v>
      </c>
      <c r="B687" s="89" t="s">
        <v>530</v>
      </c>
      <c r="C687" s="88" t="s">
        <v>0</v>
      </c>
      <c r="D687" s="89"/>
      <c r="E687" s="91">
        <v>18000</v>
      </c>
      <c r="F687" s="88">
        <v>4</v>
      </c>
      <c r="G687" s="89" t="s">
        <v>531</v>
      </c>
      <c r="H687" s="89" t="s">
        <v>532</v>
      </c>
      <c r="I687" s="89" t="s">
        <v>94</v>
      </c>
      <c r="J687" s="89" t="s">
        <v>355</v>
      </c>
      <c r="K687" s="89" t="str">
        <f>"00049245"</f>
        <v>00049245</v>
      </c>
    </row>
    <row r="688" spans="1:11" ht="42.75" x14ac:dyDescent="0.25">
      <c r="A688" s="88">
        <v>108</v>
      </c>
      <c r="B688" s="89" t="s">
        <v>534</v>
      </c>
      <c r="C688" s="88" t="s">
        <v>0</v>
      </c>
      <c r="D688" s="89"/>
      <c r="E688" s="91">
        <v>17845</v>
      </c>
      <c r="F688" s="88">
        <v>4</v>
      </c>
      <c r="G688" s="89" t="s">
        <v>531</v>
      </c>
      <c r="H688" s="89" t="s">
        <v>535</v>
      </c>
      <c r="I688" s="89" t="s">
        <v>94</v>
      </c>
      <c r="J688" s="89" t="s">
        <v>355</v>
      </c>
      <c r="K688" s="89" t="str">
        <f>"00049235"</f>
        <v>00049235</v>
      </c>
    </row>
    <row r="689" spans="1:11" ht="57" x14ac:dyDescent="0.25">
      <c r="A689" s="88">
        <v>108</v>
      </c>
      <c r="B689" s="89" t="s">
        <v>530</v>
      </c>
      <c r="C689" s="88" t="s">
        <v>0</v>
      </c>
      <c r="D689" s="89"/>
      <c r="E689" s="91">
        <v>18000</v>
      </c>
      <c r="F689" s="88">
        <v>4</v>
      </c>
      <c r="G689" s="89" t="s">
        <v>536</v>
      </c>
      <c r="H689" s="89" t="s">
        <v>533</v>
      </c>
      <c r="I689" s="89" t="s">
        <v>94</v>
      </c>
      <c r="J689" s="89" t="s">
        <v>355</v>
      </c>
      <c r="K689" s="89" t="str">
        <f>"00049241"</f>
        <v>00049241</v>
      </c>
    </row>
    <row r="690" spans="1:11" ht="42.75" x14ac:dyDescent="0.25">
      <c r="A690" s="88">
        <v>108</v>
      </c>
      <c r="B690" s="89" t="s">
        <v>534</v>
      </c>
      <c r="C690" s="88" t="s">
        <v>0</v>
      </c>
      <c r="D690" s="89"/>
      <c r="E690" s="91">
        <v>182155</v>
      </c>
      <c r="F690" s="88">
        <v>4</v>
      </c>
      <c r="G690" s="89" t="s">
        <v>541</v>
      </c>
      <c r="H690" s="89" t="s">
        <v>542</v>
      </c>
      <c r="I690" s="89" t="s">
        <v>32</v>
      </c>
      <c r="J690" s="89" t="s">
        <v>520</v>
      </c>
      <c r="K690" s="89" t="str">
        <f>"00046782"</f>
        <v>00046782</v>
      </c>
    </row>
    <row r="691" spans="1:11" ht="57" x14ac:dyDescent="0.25">
      <c r="A691" s="88">
        <v>108</v>
      </c>
      <c r="B691" s="89" t="s">
        <v>530</v>
      </c>
      <c r="C691" s="88" t="s">
        <v>0</v>
      </c>
      <c r="D691" s="89"/>
      <c r="E691" s="91">
        <v>18000</v>
      </c>
      <c r="F691" s="88">
        <v>4</v>
      </c>
      <c r="G691" s="89" t="s">
        <v>536</v>
      </c>
      <c r="H691" s="89" t="s">
        <v>532</v>
      </c>
      <c r="I691" s="89" t="s">
        <v>94</v>
      </c>
      <c r="J691" s="89" t="s">
        <v>355</v>
      </c>
      <c r="K691" s="89" t="str">
        <f>"00049248"</f>
        <v>00049248</v>
      </c>
    </row>
    <row r="692" spans="1:11" ht="42.75" x14ac:dyDescent="0.25">
      <c r="A692" s="88">
        <v>108</v>
      </c>
      <c r="B692" s="89" t="s">
        <v>510</v>
      </c>
      <c r="C692" s="88" t="s">
        <v>0</v>
      </c>
      <c r="D692" s="89"/>
      <c r="E692" s="91">
        <v>15000</v>
      </c>
      <c r="F692" s="88">
        <v>4</v>
      </c>
      <c r="G692" s="89" t="s">
        <v>515</v>
      </c>
      <c r="H692" s="89" t="s">
        <v>516</v>
      </c>
      <c r="I692" s="89" t="s">
        <v>66</v>
      </c>
      <c r="J692" s="89" t="s">
        <v>302</v>
      </c>
      <c r="K692" s="89" t="str">
        <f>"00047418"</f>
        <v>00047418</v>
      </c>
    </row>
    <row r="693" spans="1:11" ht="57" x14ac:dyDescent="0.25">
      <c r="A693" s="88">
        <v>108</v>
      </c>
      <c r="B693" s="89" t="s">
        <v>530</v>
      </c>
      <c r="C693" s="88" t="s">
        <v>0</v>
      </c>
      <c r="D693" s="89"/>
      <c r="E693" s="91">
        <v>18000</v>
      </c>
      <c r="F693" s="88">
        <v>4</v>
      </c>
      <c r="G693" s="89" t="s">
        <v>536</v>
      </c>
      <c r="H693" s="89" t="s">
        <v>532</v>
      </c>
      <c r="I693" s="89" t="s">
        <v>94</v>
      </c>
      <c r="J693" s="89" t="s">
        <v>355</v>
      </c>
      <c r="K693" s="89" t="str">
        <f>"00049247"</f>
        <v>00049247</v>
      </c>
    </row>
    <row r="694" spans="1:11" ht="57" x14ac:dyDescent="0.25">
      <c r="A694" s="88">
        <v>108</v>
      </c>
      <c r="B694" s="89" t="s">
        <v>530</v>
      </c>
      <c r="C694" s="88" t="s">
        <v>0</v>
      </c>
      <c r="D694" s="89"/>
      <c r="E694" s="91">
        <v>18000</v>
      </c>
      <c r="F694" s="88">
        <v>4</v>
      </c>
      <c r="G694" s="89" t="s">
        <v>531</v>
      </c>
      <c r="H694" s="89" t="s">
        <v>537</v>
      </c>
      <c r="I694" s="89" t="s">
        <v>94</v>
      </c>
      <c r="J694" s="89" t="s">
        <v>355</v>
      </c>
      <c r="K694" s="89" t="str">
        <f>"00049243"</f>
        <v>00049243</v>
      </c>
    </row>
    <row r="695" spans="1:11" ht="57" x14ac:dyDescent="0.25">
      <c r="A695" s="88">
        <v>108</v>
      </c>
      <c r="B695" s="89" t="s">
        <v>530</v>
      </c>
      <c r="C695" s="88" t="s">
        <v>0</v>
      </c>
      <c r="D695" s="89"/>
      <c r="E695" s="91">
        <v>18000</v>
      </c>
      <c r="F695" s="88">
        <v>4</v>
      </c>
      <c r="G695" s="89" t="s">
        <v>531</v>
      </c>
      <c r="H695" s="89" t="s">
        <v>533</v>
      </c>
      <c r="I695" s="89" t="s">
        <v>94</v>
      </c>
      <c r="J695" s="89" t="s">
        <v>355</v>
      </c>
      <c r="K695" s="89" t="str">
        <f>"00049242"</f>
        <v>00049242</v>
      </c>
    </row>
    <row r="696" spans="1:11" ht="42.75" x14ac:dyDescent="0.25">
      <c r="A696" s="88">
        <v>108</v>
      </c>
      <c r="B696" s="89" t="s">
        <v>527</v>
      </c>
      <c r="C696" s="88" t="s">
        <v>0</v>
      </c>
      <c r="D696" s="89"/>
      <c r="E696" s="91">
        <v>72180</v>
      </c>
      <c r="F696" s="88">
        <v>4</v>
      </c>
      <c r="G696" s="89" t="s">
        <v>528</v>
      </c>
      <c r="H696" s="89" t="s">
        <v>24</v>
      </c>
      <c r="I696" s="89" t="s">
        <v>94</v>
      </c>
      <c r="J696" s="89" t="s">
        <v>529</v>
      </c>
      <c r="K696" s="89" t="str">
        <f>"00047896"</f>
        <v>00047896</v>
      </c>
    </row>
    <row r="697" spans="1:11" ht="42.75" x14ac:dyDescent="0.25">
      <c r="A697" s="88">
        <v>108</v>
      </c>
      <c r="B697" s="89" t="s">
        <v>525</v>
      </c>
      <c r="C697" s="88" t="s">
        <v>0</v>
      </c>
      <c r="D697" s="89"/>
      <c r="E697" s="91">
        <v>122064</v>
      </c>
      <c r="F697" s="88">
        <v>4</v>
      </c>
      <c r="G697" s="89" t="s">
        <v>526</v>
      </c>
      <c r="H697" s="89" t="s">
        <v>472</v>
      </c>
      <c r="I697" s="89" t="s">
        <v>32</v>
      </c>
      <c r="J697" s="89" t="s">
        <v>44</v>
      </c>
      <c r="K697" s="89" t="str">
        <f>"00047919"</f>
        <v>00047919</v>
      </c>
    </row>
    <row r="698" spans="1:11" ht="42.75" x14ac:dyDescent="0.25">
      <c r="A698" s="88">
        <v>108</v>
      </c>
      <c r="B698" s="89" t="s">
        <v>513</v>
      </c>
      <c r="C698" s="88" t="s">
        <v>0</v>
      </c>
      <c r="D698" s="89"/>
      <c r="E698" s="91">
        <v>25000</v>
      </c>
      <c r="F698" s="88">
        <v>4</v>
      </c>
      <c r="G698" s="89" t="s">
        <v>514</v>
      </c>
      <c r="H698" s="89" t="s">
        <v>323</v>
      </c>
      <c r="I698" s="89" t="s">
        <v>66</v>
      </c>
      <c r="J698" s="89" t="s">
        <v>302</v>
      </c>
      <c r="K698" s="89" t="str">
        <f>"00047507"</f>
        <v>00047507</v>
      </c>
    </row>
    <row r="699" spans="1:11" ht="42.75" x14ac:dyDescent="0.25">
      <c r="A699" s="88">
        <v>108</v>
      </c>
      <c r="B699" s="89" t="s">
        <v>521</v>
      </c>
      <c r="C699" s="88" t="s">
        <v>0</v>
      </c>
      <c r="D699" s="89"/>
      <c r="E699" s="91">
        <v>25000</v>
      </c>
      <c r="F699" s="88">
        <v>4</v>
      </c>
      <c r="G699" s="89" t="s">
        <v>514</v>
      </c>
      <c r="H699" s="89" t="s">
        <v>323</v>
      </c>
      <c r="I699" s="89" t="s">
        <v>66</v>
      </c>
      <c r="J699" s="89" t="s">
        <v>302</v>
      </c>
      <c r="K699" s="89" t="str">
        <f>"00047504"</f>
        <v>00047504</v>
      </c>
    </row>
    <row r="700" spans="1:11" ht="42.75" x14ac:dyDescent="0.25">
      <c r="A700" s="88">
        <v>108</v>
      </c>
      <c r="B700" s="89" t="s">
        <v>513</v>
      </c>
      <c r="C700" s="88" t="s">
        <v>0</v>
      </c>
      <c r="D700" s="89"/>
      <c r="E700" s="91">
        <v>25000</v>
      </c>
      <c r="F700" s="88">
        <v>4</v>
      </c>
      <c r="G700" s="89" t="s">
        <v>514</v>
      </c>
      <c r="H700" s="89" t="s">
        <v>323</v>
      </c>
      <c r="I700" s="89" t="s">
        <v>66</v>
      </c>
      <c r="J700" s="89" t="s">
        <v>302</v>
      </c>
      <c r="K700" s="89" t="str">
        <f>"00047510"</f>
        <v>00047510</v>
      </c>
    </row>
    <row r="701" spans="1:11" ht="42.75" x14ac:dyDescent="0.25">
      <c r="A701" s="88">
        <v>108</v>
      </c>
      <c r="B701" s="89" t="s">
        <v>507</v>
      </c>
      <c r="C701" s="88" t="s">
        <v>0</v>
      </c>
      <c r="D701" s="89"/>
      <c r="E701" s="91">
        <v>15000</v>
      </c>
      <c r="F701" s="88">
        <v>4</v>
      </c>
      <c r="G701" s="89" t="s">
        <v>523</v>
      </c>
      <c r="H701" s="89" t="s">
        <v>512</v>
      </c>
      <c r="I701" s="89" t="s">
        <v>66</v>
      </c>
      <c r="J701" s="89" t="s">
        <v>302</v>
      </c>
      <c r="K701" s="89" t="str">
        <f>"00047338"</f>
        <v>00047338</v>
      </c>
    </row>
    <row r="702" spans="1:11" ht="42.75" x14ac:dyDescent="0.25">
      <c r="A702" s="88">
        <v>108</v>
      </c>
      <c r="B702" s="89" t="s">
        <v>507</v>
      </c>
      <c r="C702" s="88" t="s">
        <v>0</v>
      </c>
      <c r="D702" s="89"/>
      <c r="E702" s="91">
        <v>15000</v>
      </c>
      <c r="F702" s="88">
        <v>4</v>
      </c>
      <c r="G702" s="89" t="s">
        <v>522</v>
      </c>
      <c r="H702" s="89" t="s">
        <v>308</v>
      </c>
      <c r="I702" s="89" t="s">
        <v>66</v>
      </c>
      <c r="J702" s="89" t="s">
        <v>302</v>
      </c>
      <c r="K702" s="89" t="str">
        <f>"00047274"</f>
        <v>00047274</v>
      </c>
    </row>
    <row r="703" spans="1:11" ht="42.75" x14ac:dyDescent="0.25">
      <c r="A703" s="88">
        <v>108</v>
      </c>
      <c r="B703" s="89" t="s">
        <v>510</v>
      </c>
      <c r="C703" s="88" t="s">
        <v>0</v>
      </c>
      <c r="D703" s="89"/>
      <c r="E703" s="91">
        <v>15000</v>
      </c>
      <c r="F703" s="88">
        <v>4</v>
      </c>
      <c r="G703" s="89" t="s">
        <v>524</v>
      </c>
      <c r="H703" s="89" t="s">
        <v>516</v>
      </c>
      <c r="I703" s="89" t="s">
        <v>66</v>
      </c>
      <c r="J703" s="89" t="s">
        <v>302</v>
      </c>
      <c r="K703" s="89" t="str">
        <f>"00047421"</f>
        <v>00047421</v>
      </c>
    </row>
    <row r="704" spans="1:11" ht="42.75" x14ac:dyDescent="0.25">
      <c r="A704" s="88">
        <v>108</v>
      </c>
      <c r="B704" s="89" t="s">
        <v>517</v>
      </c>
      <c r="C704" s="88" t="s">
        <v>0</v>
      </c>
      <c r="D704" s="89"/>
      <c r="E704" s="91">
        <v>71130</v>
      </c>
      <c r="F704" s="88">
        <v>4</v>
      </c>
      <c r="G704" s="89" t="s">
        <v>518</v>
      </c>
      <c r="H704" s="89" t="s">
        <v>519</v>
      </c>
      <c r="I704" s="89" t="s">
        <v>32</v>
      </c>
      <c r="J704" s="89" t="s">
        <v>520</v>
      </c>
      <c r="K704" s="89" t="str">
        <f>"00047288"</f>
        <v>00047288</v>
      </c>
    </row>
    <row r="705" spans="1:49" ht="42.75" x14ac:dyDescent="0.25">
      <c r="A705" s="88">
        <v>108</v>
      </c>
      <c r="B705" s="89" t="s">
        <v>507</v>
      </c>
      <c r="C705" s="88" t="s">
        <v>0</v>
      </c>
      <c r="D705" s="89"/>
      <c r="E705" s="91">
        <v>15000</v>
      </c>
      <c r="F705" s="88">
        <v>4</v>
      </c>
      <c r="G705" s="89" t="s">
        <v>508</v>
      </c>
      <c r="H705" s="89" t="s">
        <v>509</v>
      </c>
      <c r="I705" s="89" t="s">
        <v>66</v>
      </c>
      <c r="J705" s="89" t="s">
        <v>302</v>
      </c>
      <c r="K705" s="89" t="str">
        <f>"00047272"</f>
        <v>00047272</v>
      </c>
    </row>
    <row r="706" spans="1:49" ht="57" x14ac:dyDescent="0.25">
      <c r="A706" s="88">
        <v>108</v>
      </c>
      <c r="B706" s="89" t="s">
        <v>2529</v>
      </c>
      <c r="C706" s="88" t="s">
        <v>0</v>
      </c>
      <c r="D706" s="89"/>
      <c r="E706" s="91">
        <v>95000</v>
      </c>
      <c r="F706" s="88">
        <v>4</v>
      </c>
      <c r="G706" s="89" t="s">
        <v>2530</v>
      </c>
      <c r="H706" s="89" t="s">
        <v>2531</v>
      </c>
      <c r="I706" s="89" t="s">
        <v>225</v>
      </c>
      <c r="J706" s="89" t="s">
        <v>2532</v>
      </c>
      <c r="K706" s="89" t="str">
        <f>"00048820"</f>
        <v>00048820</v>
      </c>
    </row>
    <row r="707" spans="1:49" ht="42.75" x14ac:dyDescent="0.25">
      <c r="A707" s="88">
        <v>108</v>
      </c>
      <c r="B707" s="89" t="s">
        <v>510</v>
      </c>
      <c r="C707" s="88" t="s">
        <v>0</v>
      </c>
      <c r="D707" s="89"/>
      <c r="E707" s="91">
        <v>30868</v>
      </c>
      <c r="F707" s="88">
        <v>4</v>
      </c>
      <c r="G707" s="89" t="s">
        <v>511</v>
      </c>
      <c r="H707" s="89" t="s">
        <v>512</v>
      </c>
      <c r="I707" s="89" t="s">
        <v>66</v>
      </c>
      <c r="J707" s="89" t="s">
        <v>302</v>
      </c>
      <c r="K707" s="89" t="str">
        <f>"00047414"</f>
        <v>00047414</v>
      </c>
    </row>
    <row r="708" spans="1:49" ht="42.75" x14ac:dyDescent="0.25">
      <c r="A708" s="88">
        <v>108</v>
      </c>
      <c r="B708" s="89" t="s">
        <v>504</v>
      </c>
      <c r="C708" s="88" t="s">
        <v>0</v>
      </c>
      <c r="D708" s="89"/>
      <c r="E708" s="91">
        <v>70596</v>
      </c>
      <c r="F708" s="88">
        <v>4</v>
      </c>
      <c r="G708" s="89" t="s">
        <v>505</v>
      </c>
      <c r="H708" s="89" t="s">
        <v>506</v>
      </c>
      <c r="I708" s="89" t="s">
        <v>80</v>
      </c>
      <c r="J708" s="89" t="s">
        <v>80</v>
      </c>
      <c r="K708" s="89" t="str">
        <f>"00047290"</f>
        <v>00047290</v>
      </c>
    </row>
    <row r="709" spans="1:49" ht="42.75" x14ac:dyDescent="0.25">
      <c r="A709" s="88">
        <v>108</v>
      </c>
      <c r="B709" s="89" t="s">
        <v>2512</v>
      </c>
      <c r="C709" s="88" t="s">
        <v>0</v>
      </c>
      <c r="D709" s="89"/>
      <c r="E709" s="91">
        <v>192112</v>
      </c>
      <c r="F709" s="88">
        <v>4</v>
      </c>
      <c r="G709" s="89" t="s">
        <v>2513</v>
      </c>
      <c r="H709" s="89" t="s">
        <v>2514</v>
      </c>
      <c r="I709" s="89" t="s">
        <v>2231</v>
      </c>
      <c r="J709" s="89" t="s">
        <v>2376</v>
      </c>
      <c r="K709" s="89" t="str">
        <f>"00048867"</f>
        <v>00048867</v>
      </c>
    </row>
    <row r="710" spans="1:49" ht="42.75" x14ac:dyDescent="0.25">
      <c r="A710" s="88">
        <v>108</v>
      </c>
      <c r="B710" s="89" t="s">
        <v>2504</v>
      </c>
      <c r="C710" s="88" t="s">
        <v>0</v>
      </c>
      <c r="D710" s="89"/>
      <c r="E710" s="91">
        <v>30337</v>
      </c>
      <c r="F710" s="88">
        <v>4</v>
      </c>
      <c r="G710" s="89" t="s">
        <v>2505</v>
      </c>
      <c r="H710" s="89" t="s">
        <v>2506</v>
      </c>
      <c r="I710" s="89" t="s">
        <v>32</v>
      </c>
      <c r="J710" s="89" t="s">
        <v>2507</v>
      </c>
      <c r="K710" s="89" t="str">
        <f>"00048902"</f>
        <v>00048902</v>
      </c>
    </row>
    <row r="711" spans="1:49" ht="114" x14ac:dyDescent="0.25">
      <c r="A711" s="88">
        <v>108</v>
      </c>
      <c r="B711" s="89" t="s">
        <v>2508</v>
      </c>
      <c r="C711" s="88" t="s">
        <v>0</v>
      </c>
      <c r="D711" s="89"/>
      <c r="E711" s="91">
        <v>91115</v>
      </c>
      <c r="F711" s="88">
        <v>4</v>
      </c>
      <c r="G711" s="89" t="s">
        <v>2509</v>
      </c>
      <c r="H711" s="89" t="s">
        <v>2510</v>
      </c>
      <c r="I711" s="89" t="s">
        <v>32</v>
      </c>
      <c r="J711" s="89" t="s">
        <v>2511</v>
      </c>
      <c r="K711" s="89" t="str">
        <f>"00048476"</f>
        <v>00048476</v>
      </c>
    </row>
    <row r="712" spans="1:49" ht="71.25" x14ac:dyDescent="0.25">
      <c r="A712" s="88">
        <v>108</v>
      </c>
      <c r="B712" s="89" t="s">
        <v>2542</v>
      </c>
      <c r="C712" s="88" t="s">
        <v>0</v>
      </c>
      <c r="D712" s="89"/>
      <c r="E712" s="91">
        <v>53256</v>
      </c>
      <c r="F712" s="88">
        <v>4</v>
      </c>
      <c r="G712" s="89" t="s">
        <v>2543</v>
      </c>
      <c r="H712" s="89" t="s">
        <v>2544</v>
      </c>
      <c r="I712" s="89" t="s">
        <v>32</v>
      </c>
      <c r="J712" s="89" t="s">
        <v>262</v>
      </c>
      <c r="K712" s="89" t="str">
        <f>"00048671"</f>
        <v>00048671</v>
      </c>
    </row>
    <row r="713" spans="1:49" ht="57" x14ac:dyDescent="0.25">
      <c r="A713" s="88">
        <v>108</v>
      </c>
      <c r="B713" s="89" t="s">
        <v>504</v>
      </c>
      <c r="C713" s="88" t="s">
        <v>0</v>
      </c>
      <c r="D713" s="89"/>
      <c r="E713" s="91">
        <v>29404</v>
      </c>
      <c r="F713" s="88">
        <v>4</v>
      </c>
      <c r="G713" s="89" t="s">
        <v>2536</v>
      </c>
      <c r="H713" s="89" t="s">
        <v>2537</v>
      </c>
      <c r="I713" s="89" t="s">
        <v>32</v>
      </c>
      <c r="J713" s="89" t="s">
        <v>2538</v>
      </c>
      <c r="K713" s="89" t="str">
        <f>"00049261"</f>
        <v>00049261</v>
      </c>
    </row>
    <row r="714" spans="1:49" ht="57" x14ac:dyDescent="0.25">
      <c r="A714" s="88">
        <v>108</v>
      </c>
      <c r="B714" s="89" t="s">
        <v>2539</v>
      </c>
      <c r="C714" s="88" t="s">
        <v>0</v>
      </c>
      <c r="D714" s="89"/>
      <c r="E714" s="91">
        <v>76949</v>
      </c>
      <c r="F714" s="88">
        <v>4</v>
      </c>
      <c r="G714" s="89" t="s">
        <v>2540</v>
      </c>
      <c r="H714" s="89" t="s">
        <v>2541</v>
      </c>
      <c r="I714" s="89" t="s">
        <v>32</v>
      </c>
      <c r="J714" s="89" t="s">
        <v>262</v>
      </c>
      <c r="K714" s="89" t="str">
        <f>"00049631"</f>
        <v>00049631</v>
      </c>
    </row>
    <row r="715" spans="1:49" s="1" customFormat="1" ht="57" x14ac:dyDescent="0.25">
      <c r="A715" s="88">
        <v>108</v>
      </c>
      <c r="B715" s="89" t="s">
        <v>521</v>
      </c>
      <c r="C715" s="88" t="s">
        <v>0</v>
      </c>
      <c r="D715" s="89"/>
      <c r="E715" s="91">
        <v>70000</v>
      </c>
      <c r="F715" s="88">
        <v>4</v>
      </c>
      <c r="G715" s="89" t="s">
        <v>2519</v>
      </c>
      <c r="H715" s="89" t="s">
        <v>2520</v>
      </c>
      <c r="I715" s="89" t="s">
        <v>32</v>
      </c>
      <c r="J715" s="89" t="s">
        <v>708</v>
      </c>
      <c r="K715" s="89" t="str">
        <f>"00050129"</f>
        <v>00050129</v>
      </c>
    </row>
    <row r="716" spans="1:49" s="1" customFormat="1" ht="42.75" x14ac:dyDescent="0.25">
      <c r="A716" s="88">
        <v>108</v>
      </c>
      <c r="B716" s="89" t="s">
        <v>521</v>
      </c>
      <c r="C716" s="88" t="s">
        <v>0</v>
      </c>
      <c r="D716" s="89"/>
      <c r="E716" s="91">
        <v>70000</v>
      </c>
      <c r="F716" s="88">
        <v>4</v>
      </c>
      <c r="G716" s="89" t="s">
        <v>2562</v>
      </c>
      <c r="H716" s="89" t="s">
        <v>2563</v>
      </c>
      <c r="I716" s="89" t="s">
        <v>17</v>
      </c>
      <c r="J716" s="89" t="s">
        <v>110</v>
      </c>
      <c r="K716" s="89" t="str">
        <f>"00049416"</f>
        <v>00049416</v>
      </c>
    </row>
    <row r="717" spans="1:49" s="1" customFormat="1" ht="57" x14ac:dyDescent="0.25">
      <c r="A717" s="88">
        <v>108</v>
      </c>
      <c r="B717" s="89" t="s">
        <v>2539</v>
      </c>
      <c r="C717" s="88" t="s">
        <v>0</v>
      </c>
      <c r="D717" s="89"/>
      <c r="E717" s="91">
        <v>87249</v>
      </c>
      <c r="F717" s="88">
        <v>4</v>
      </c>
      <c r="G717" s="89" t="s">
        <v>2564</v>
      </c>
      <c r="H717" s="89" t="s">
        <v>2544</v>
      </c>
      <c r="I717" s="89" t="s">
        <v>32</v>
      </c>
      <c r="J717" s="89" t="s">
        <v>262</v>
      </c>
      <c r="K717" s="89" t="str">
        <f>"00049801"</f>
        <v>00049801</v>
      </c>
    </row>
    <row r="718" spans="1:49" s="1" customFormat="1" ht="42.75" x14ac:dyDescent="0.25">
      <c r="A718" s="88">
        <v>108</v>
      </c>
      <c r="B718" s="89" t="s">
        <v>521</v>
      </c>
      <c r="C718" s="88" t="s">
        <v>0</v>
      </c>
      <c r="D718" s="89"/>
      <c r="E718" s="91">
        <v>70000</v>
      </c>
      <c r="F718" s="88">
        <v>4</v>
      </c>
      <c r="G718" s="89" t="s">
        <v>2557</v>
      </c>
      <c r="H718" s="89" t="s">
        <v>2019</v>
      </c>
      <c r="I718" s="89" t="s">
        <v>17</v>
      </c>
      <c r="J718" s="89" t="s">
        <v>110</v>
      </c>
      <c r="K718" s="89" t="str">
        <f>"00049413"</f>
        <v>00049413</v>
      </c>
    </row>
    <row r="719" spans="1:49" s="5" customFormat="1" ht="42.75" x14ac:dyDescent="0.25">
      <c r="A719" s="88">
        <v>108</v>
      </c>
      <c r="B719" s="89" t="s">
        <v>2533</v>
      </c>
      <c r="C719" s="88" t="s">
        <v>0</v>
      </c>
      <c r="D719" s="89"/>
      <c r="E719" s="91">
        <v>110000</v>
      </c>
      <c r="F719" s="88">
        <v>4</v>
      </c>
      <c r="G719" s="89" t="s">
        <v>2534</v>
      </c>
      <c r="H719" s="89" t="s">
        <v>2535</v>
      </c>
      <c r="I719" s="89" t="s">
        <v>2231</v>
      </c>
      <c r="J719" s="89" t="s">
        <v>2376</v>
      </c>
      <c r="K719" s="89" t="str">
        <f>"00049580"</f>
        <v>00049580</v>
      </c>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row>
    <row r="720" spans="1:49" ht="128.25" x14ac:dyDescent="0.25">
      <c r="A720" s="88">
        <v>108</v>
      </c>
      <c r="B720" s="89" t="s">
        <v>2558</v>
      </c>
      <c r="C720" s="88" t="s">
        <v>0</v>
      </c>
      <c r="D720" s="89"/>
      <c r="E720" s="91">
        <v>87675</v>
      </c>
      <c r="F720" s="88">
        <v>4</v>
      </c>
      <c r="G720" s="89" t="s">
        <v>2559</v>
      </c>
      <c r="H720" s="89" t="s">
        <v>2560</v>
      </c>
      <c r="I720" s="89" t="s">
        <v>32</v>
      </c>
      <c r="J720" s="89" t="s">
        <v>2561</v>
      </c>
      <c r="K720" s="89" t="str">
        <f>"00049115"</f>
        <v>00049115</v>
      </c>
    </row>
    <row r="721" spans="1:11" ht="42.75" x14ac:dyDescent="0.25">
      <c r="A721" s="88">
        <v>108</v>
      </c>
      <c r="B721" s="89" t="s">
        <v>2523</v>
      </c>
      <c r="C721" s="88" t="s">
        <v>0</v>
      </c>
      <c r="D721" s="89"/>
      <c r="E721" s="91">
        <v>159098</v>
      </c>
      <c r="F721" s="88">
        <v>4</v>
      </c>
      <c r="G721" s="89" t="s">
        <v>2524</v>
      </c>
      <c r="H721" s="89" t="s">
        <v>2525</v>
      </c>
      <c r="I721" s="89" t="s">
        <v>209</v>
      </c>
      <c r="J721" s="89" t="s">
        <v>210</v>
      </c>
      <c r="K721" s="89" t="str">
        <f>"00050497"</f>
        <v>00050497</v>
      </c>
    </row>
    <row r="722" spans="1:11" ht="57" x14ac:dyDescent="0.25">
      <c r="A722" s="88">
        <v>108</v>
      </c>
      <c r="B722" s="89" t="s">
        <v>2567</v>
      </c>
      <c r="C722" s="88" t="s">
        <v>0</v>
      </c>
      <c r="D722" s="89"/>
      <c r="E722" s="91">
        <v>120561</v>
      </c>
      <c r="F722" s="88">
        <v>4</v>
      </c>
      <c r="G722" s="89" t="s">
        <v>2568</v>
      </c>
      <c r="H722" s="89" t="s">
        <v>2566</v>
      </c>
      <c r="I722" s="89" t="s">
        <v>17</v>
      </c>
      <c r="J722" s="89" t="s">
        <v>110</v>
      </c>
      <c r="K722" s="89" t="str">
        <f>"00049734"</f>
        <v>00049734</v>
      </c>
    </row>
    <row r="723" spans="1:11" ht="42.75" x14ac:dyDescent="0.25">
      <c r="A723" s="88">
        <v>108</v>
      </c>
      <c r="B723" s="89" t="s">
        <v>507</v>
      </c>
      <c r="C723" s="88" t="s">
        <v>0</v>
      </c>
      <c r="D723" s="89"/>
      <c r="E723" s="91">
        <v>105000</v>
      </c>
      <c r="F723" s="88">
        <v>4</v>
      </c>
      <c r="G723" s="89" t="s">
        <v>2565</v>
      </c>
      <c r="H723" s="89" t="s">
        <v>2566</v>
      </c>
      <c r="I723" s="89" t="s">
        <v>17</v>
      </c>
      <c r="J723" s="89" t="s">
        <v>110</v>
      </c>
      <c r="K723" s="89" t="str">
        <f>"00049726"</f>
        <v>00049726</v>
      </c>
    </row>
    <row r="724" spans="1:11" ht="71.25" x14ac:dyDescent="0.25">
      <c r="A724" s="88">
        <v>108</v>
      </c>
      <c r="B724" s="89" t="s">
        <v>538</v>
      </c>
      <c r="C724" s="88" t="s">
        <v>0</v>
      </c>
      <c r="D724" s="89"/>
      <c r="E724" s="91">
        <v>110087</v>
      </c>
      <c r="F724" s="88">
        <v>4</v>
      </c>
      <c r="G724" s="89" t="s">
        <v>2527</v>
      </c>
      <c r="H724" s="89" t="s">
        <v>2528</v>
      </c>
      <c r="I724" s="89" t="s">
        <v>237</v>
      </c>
      <c r="J724" s="89" t="s">
        <v>540</v>
      </c>
      <c r="K724" s="89" t="str">
        <f>"00048506"</f>
        <v>00048506</v>
      </c>
    </row>
    <row r="725" spans="1:11" ht="142.5" x14ac:dyDescent="0.25">
      <c r="A725" s="88">
        <v>108</v>
      </c>
      <c r="B725" s="89" t="s">
        <v>2515</v>
      </c>
      <c r="C725" s="88" t="s">
        <v>0</v>
      </c>
      <c r="D725" s="89"/>
      <c r="E725" s="91">
        <v>177369</v>
      </c>
      <c r="F725" s="88">
        <v>4</v>
      </c>
      <c r="G725" s="89" t="s">
        <v>2516</v>
      </c>
      <c r="H725" s="89" t="s">
        <v>2517</v>
      </c>
      <c r="I725" s="89" t="s">
        <v>32</v>
      </c>
      <c r="J725" s="89" t="s">
        <v>2518</v>
      </c>
      <c r="K725" s="89" t="str">
        <f>"00050120"</f>
        <v>00050120</v>
      </c>
    </row>
    <row r="726" spans="1:11" ht="114" x14ac:dyDescent="0.25">
      <c r="A726" s="88">
        <v>108</v>
      </c>
      <c r="B726" s="89" t="s">
        <v>510</v>
      </c>
      <c r="C726" s="88" t="s">
        <v>0</v>
      </c>
      <c r="D726" s="89"/>
      <c r="E726" s="91">
        <v>117791</v>
      </c>
      <c r="F726" s="88">
        <v>4</v>
      </c>
      <c r="G726" s="89" t="s">
        <v>2521</v>
      </c>
      <c r="H726" s="89" t="s">
        <v>2522</v>
      </c>
      <c r="I726" s="89" t="s">
        <v>32</v>
      </c>
      <c r="J726" s="89" t="s">
        <v>1991</v>
      </c>
      <c r="K726" s="89" t="str">
        <f>"00050064"</f>
        <v>00050064</v>
      </c>
    </row>
    <row r="727" spans="1:11" ht="42.75" x14ac:dyDescent="0.25">
      <c r="A727" s="88">
        <v>108</v>
      </c>
      <c r="B727" s="89" t="s">
        <v>2554</v>
      </c>
      <c r="C727" s="88" t="s">
        <v>0</v>
      </c>
      <c r="D727" s="89"/>
      <c r="E727" s="91">
        <v>95401</v>
      </c>
      <c r="F727" s="88">
        <v>4</v>
      </c>
      <c r="G727" s="89" t="s">
        <v>2555</v>
      </c>
      <c r="H727" s="89" t="s">
        <v>2556</v>
      </c>
      <c r="I727" s="89" t="s">
        <v>237</v>
      </c>
      <c r="J727" s="89" t="s">
        <v>338</v>
      </c>
      <c r="K727" s="89" t="str">
        <f>"00050829"</f>
        <v>00050829</v>
      </c>
    </row>
    <row r="728" spans="1:11" ht="42.75" x14ac:dyDescent="0.25">
      <c r="A728" s="88">
        <v>108</v>
      </c>
      <c r="B728" s="89" t="s">
        <v>2545</v>
      </c>
      <c r="C728" s="88" t="s">
        <v>0</v>
      </c>
      <c r="D728" s="89"/>
      <c r="E728" s="91">
        <v>21688</v>
      </c>
      <c r="F728" s="88">
        <v>4</v>
      </c>
      <c r="G728" s="89" t="s">
        <v>2546</v>
      </c>
      <c r="H728" s="89" t="s">
        <v>2547</v>
      </c>
      <c r="I728" s="89" t="s">
        <v>94</v>
      </c>
      <c r="J728" s="89" t="s">
        <v>2084</v>
      </c>
      <c r="K728" s="89" t="str">
        <f>"00051028"</f>
        <v>00051028</v>
      </c>
    </row>
    <row r="729" spans="1:11" ht="71.25" x14ac:dyDescent="0.25">
      <c r="A729" s="88">
        <v>108</v>
      </c>
      <c r="B729" s="89" t="s">
        <v>2548</v>
      </c>
      <c r="C729" s="88" t="s">
        <v>0</v>
      </c>
      <c r="D729" s="89"/>
      <c r="E729" s="91">
        <v>95568</v>
      </c>
      <c r="F729" s="88">
        <v>4</v>
      </c>
      <c r="G729" s="89" t="s">
        <v>2549</v>
      </c>
      <c r="H729" s="89" t="s">
        <v>2550</v>
      </c>
      <c r="I729" s="89" t="s">
        <v>237</v>
      </c>
      <c r="J729" s="89" t="s">
        <v>338</v>
      </c>
      <c r="K729" s="89" t="str">
        <f>"00051126"</f>
        <v>00051126</v>
      </c>
    </row>
    <row r="730" spans="1:11" ht="42.75" x14ac:dyDescent="0.25">
      <c r="A730" s="88">
        <v>108</v>
      </c>
      <c r="B730" s="89" t="s">
        <v>2551</v>
      </c>
      <c r="C730" s="88" t="s">
        <v>0</v>
      </c>
      <c r="D730" s="89"/>
      <c r="E730" s="91">
        <v>34254</v>
      </c>
      <c r="F730" s="88">
        <v>4</v>
      </c>
      <c r="G730" s="89" t="s">
        <v>2552</v>
      </c>
      <c r="H730" s="89" t="s">
        <v>2553</v>
      </c>
      <c r="I730" s="89" t="s">
        <v>237</v>
      </c>
      <c r="J730" s="89" t="s">
        <v>338</v>
      </c>
      <c r="K730" s="89" t="str">
        <f>"00051236"</f>
        <v>00051236</v>
      </c>
    </row>
    <row r="731" spans="1:11" ht="42.75" x14ac:dyDescent="0.25">
      <c r="A731" s="88">
        <v>108</v>
      </c>
      <c r="B731" s="89" t="s">
        <v>2545</v>
      </c>
      <c r="C731" s="88" t="s">
        <v>0</v>
      </c>
      <c r="D731" s="89"/>
      <c r="E731" s="91">
        <v>31606</v>
      </c>
      <c r="F731" s="88">
        <v>4</v>
      </c>
      <c r="G731" s="89" t="s">
        <v>2576</v>
      </c>
      <c r="H731" s="89" t="s">
        <v>2577</v>
      </c>
      <c r="I731" s="89" t="s">
        <v>66</v>
      </c>
      <c r="J731" s="89" t="s">
        <v>67</v>
      </c>
      <c r="K731" s="89" t="str">
        <f>"00051240"</f>
        <v>00051240</v>
      </c>
    </row>
    <row r="732" spans="1:11" ht="42.75" x14ac:dyDescent="0.25">
      <c r="A732" s="88">
        <v>108</v>
      </c>
      <c r="B732" s="89" t="s">
        <v>2569</v>
      </c>
      <c r="C732" s="88" t="s">
        <v>0</v>
      </c>
      <c r="D732" s="89"/>
      <c r="E732" s="91">
        <v>94384</v>
      </c>
      <c r="F732" s="88">
        <v>4</v>
      </c>
      <c r="G732" s="89" t="s">
        <v>2570</v>
      </c>
      <c r="H732" s="89" t="s">
        <v>2571</v>
      </c>
      <c r="I732" s="89" t="s">
        <v>32</v>
      </c>
      <c r="J732" s="89" t="s">
        <v>2572</v>
      </c>
      <c r="K732" s="89" t="str">
        <f>"00051259"</f>
        <v>00051259</v>
      </c>
    </row>
    <row r="733" spans="1:11" ht="114" x14ac:dyDescent="0.25">
      <c r="A733" s="88">
        <v>108</v>
      </c>
      <c r="B733" s="89" t="s">
        <v>5708</v>
      </c>
      <c r="C733" s="88" t="s">
        <v>0</v>
      </c>
      <c r="D733" s="89"/>
      <c r="E733" s="91">
        <v>87546</v>
      </c>
      <c r="F733" s="88">
        <v>4</v>
      </c>
      <c r="G733" s="89" t="s">
        <v>2526</v>
      </c>
      <c r="H733" s="89" t="s">
        <v>1990</v>
      </c>
      <c r="I733" s="89" t="s">
        <v>32</v>
      </c>
      <c r="J733" s="89" t="s">
        <v>1991</v>
      </c>
      <c r="K733" s="89" t="str">
        <f>"00050294"</f>
        <v>00050294</v>
      </c>
    </row>
    <row r="734" spans="1:11" ht="42.75" x14ac:dyDescent="0.25">
      <c r="A734" s="88">
        <v>108</v>
      </c>
      <c r="B734" s="89" t="s">
        <v>2573</v>
      </c>
      <c r="C734" s="88" t="s">
        <v>0</v>
      </c>
      <c r="D734" s="89"/>
      <c r="E734" s="91">
        <v>88061</v>
      </c>
      <c r="F734" s="88">
        <v>4</v>
      </c>
      <c r="G734" s="89" t="s">
        <v>2574</v>
      </c>
      <c r="H734" s="89" t="s">
        <v>2575</v>
      </c>
      <c r="I734" s="89" t="s">
        <v>32</v>
      </c>
      <c r="J734" s="89" t="s">
        <v>2572</v>
      </c>
      <c r="K734" s="89" t="str">
        <f>"00051677"</f>
        <v>00051677</v>
      </c>
    </row>
    <row r="735" spans="1:11" ht="57" x14ac:dyDescent="0.25">
      <c r="A735" s="88">
        <v>108</v>
      </c>
      <c r="B735" s="89" t="s">
        <v>2600</v>
      </c>
      <c r="C735" s="88" t="s">
        <v>0</v>
      </c>
      <c r="D735" s="89"/>
      <c r="E735" s="91">
        <v>86550</v>
      </c>
      <c r="F735" s="88">
        <v>4</v>
      </c>
      <c r="G735" s="89" t="s">
        <v>2601</v>
      </c>
      <c r="H735" s="89" t="s">
        <v>2602</v>
      </c>
      <c r="I735" s="89" t="s">
        <v>32</v>
      </c>
      <c r="J735" s="89" t="s">
        <v>36</v>
      </c>
      <c r="K735" s="89" t="str">
        <f>"00052123"</f>
        <v>00052123</v>
      </c>
    </row>
    <row r="736" spans="1:11" ht="42.75" x14ac:dyDescent="0.25">
      <c r="A736" s="88">
        <v>108</v>
      </c>
      <c r="B736" s="89" t="s">
        <v>2581</v>
      </c>
      <c r="C736" s="88" t="s">
        <v>0</v>
      </c>
      <c r="D736" s="89"/>
      <c r="E736" s="91">
        <v>8078</v>
      </c>
      <c r="F736" s="88">
        <v>4</v>
      </c>
      <c r="G736" s="89" t="s">
        <v>2582</v>
      </c>
      <c r="H736" s="89" t="s">
        <v>2583</v>
      </c>
      <c r="I736" s="89" t="s">
        <v>94</v>
      </c>
      <c r="J736" s="89" t="s">
        <v>355</v>
      </c>
      <c r="K736" s="89" t="str">
        <f>"00050995"</f>
        <v>00050995</v>
      </c>
    </row>
    <row r="737" spans="1:11" ht="57" x14ac:dyDescent="0.25">
      <c r="A737" s="88">
        <v>108</v>
      </c>
      <c r="B737" s="89" t="s">
        <v>2578</v>
      </c>
      <c r="C737" s="88" t="s">
        <v>0</v>
      </c>
      <c r="D737" s="89"/>
      <c r="E737" s="91">
        <v>31069</v>
      </c>
      <c r="F737" s="88">
        <v>4</v>
      </c>
      <c r="G737" s="89" t="s">
        <v>2579</v>
      </c>
      <c r="H737" s="89" t="s">
        <v>2335</v>
      </c>
      <c r="I737" s="89" t="s">
        <v>135</v>
      </c>
      <c r="J737" s="89" t="s">
        <v>2580</v>
      </c>
      <c r="K737" s="89" t="str">
        <f>"00051937"</f>
        <v>00051937</v>
      </c>
    </row>
    <row r="738" spans="1:11" ht="42.75" x14ac:dyDescent="0.25">
      <c r="A738" s="88">
        <v>108</v>
      </c>
      <c r="B738" s="89" t="s">
        <v>2592</v>
      </c>
      <c r="C738" s="88" t="s">
        <v>0</v>
      </c>
      <c r="D738" s="89"/>
      <c r="E738" s="91">
        <v>117074</v>
      </c>
      <c r="F738" s="88">
        <v>4</v>
      </c>
      <c r="G738" s="89" t="s">
        <v>2593</v>
      </c>
      <c r="H738" s="89" t="s">
        <v>2594</v>
      </c>
      <c r="I738" s="89" t="s">
        <v>32</v>
      </c>
      <c r="J738" s="89" t="s">
        <v>742</v>
      </c>
      <c r="K738" s="89" t="str">
        <f>"00051977"</f>
        <v>00051977</v>
      </c>
    </row>
    <row r="739" spans="1:11" ht="57" x14ac:dyDescent="0.25">
      <c r="A739" s="88">
        <v>108</v>
      </c>
      <c r="B739" s="89" t="s">
        <v>2591</v>
      </c>
      <c r="C739" s="88" t="s">
        <v>0</v>
      </c>
      <c r="D739" s="89"/>
      <c r="E739" s="91">
        <v>92077</v>
      </c>
      <c r="F739" s="88">
        <v>4</v>
      </c>
      <c r="G739" s="89" t="s">
        <v>2588</v>
      </c>
      <c r="H739" s="89" t="s">
        <v>2589</v>
      </c>
      <c r="I739" s="89" t="s">
        <v>32</v>
      </c>
      <c r="J739" s="89" t="s">
        <v>2590</v>
      </c>
      <c r="K739" s="89" t="str">
        <f>"00052226"</f>
        <v>00052226</v>
      </c>
    </row>
    <row r="740" spans="1:11" ht="57" x14ac:dyDescent="0.25">
      <c r="A740" s="88">
        <v>108</v>
      </c>
      <c r="B740" s="89" t="s">
        <v>2587</v>
      </c>
      <c r="C740" s="88" t="s">
        <v>0</v>
      </c>
      <c r="D740" s="89"/>
      <c r="E740" s="91">
        <v>80000</v>
      </c>
      <c r="F740" s="88">
        <v>4</v>
      </c>
      <c r="G740" s="89" t="s">
        <v>2588</v>
      </c>
      <c r="H740" s="89" t="s">
        <v>2589</v>
      </c>
      <c r="I740" s="89" t="s">
        <v>32</v>
      </c>
      <c r="J740" s="89" t="s">
        <v>2590</v>
      </c>
      <c r="K740" s="89" t="str">
        <f>"00052261"</f>
        <v>00052261</v>
      </c>
    </row>
    <row r="741" spans="1:11" ht="57" x14ac:dyDescent="0.25">
      <c r="A741" s="88">
        <v>108</v>
      </c>
      <c r="B741" s="89" t="s">
        <v>2600</v>
      </c>
      <c r="C741" s="88" t="s">
        <v>0</v>
      </c>
      <c r="D741" s="89"/>
      <c r="E741" s="91">
        <v>92055</v>
      </c>
      <c r="F741" s="88">
        <v>4</v>
      </c>
      <c r="G741" s="89" t="s">
        <v>2603</v>
      </c>
      <c r="H741" s="89" t="s">
        <v>2602</v>
      </c>
      <c r="I741" s="89" t="s">
        <v>32</v>
      </c>
      <c r="J741" s="89" t="s">
        <v>36</v>
      </c>
      <c r="K741" s="89" t="str">
        <f>"00052121"</f>
        <v>00052121</v>
      </c>
    </row>
    <row r="742" spans="1:11" ht="57" x14ac:dyDescent="0.25">
      <c r="A742" s="88">
        <v>108</v>
      </c>
      <c r="B742" s="89" t="s">
        <v>2595</v>
      </c>
      <c r="C742" s="88" t="s">
        <v>0</v>
      </c>
      <c r="D742" s="89"/>
      <c r="E742" s="91">
        <v>86862</v>
      </c>
      <c r="F742" s="88">
        <v>4</v>
      </c>
      <c r="G742" s="89" t="s">
        <v>2596</v>
      </c>
      <c r="H742" s="89" t="s">
        <v>2604</v>
      </c>
      <c r="I742" s="89" t="s">
        <v>32</v>
      </c>
      <c r="J742" s="89" t="s">
        <v>36</v>
      </c>
      <c r="K742" s="89" t="str">
        <f>"00052604"</f>
        <v>00052604</v>
      </c>
    </row>
    <row r="743" spans="1:11" ht="42.75" x14ac:dyDescent="0.25">
      <c r="A743" s="88">
        <v>108</v>
      </c>
      <c r="B743" s="89" t="s">
        <v>2597</v>
      </c>
      <c r="C743" s="88" t="s">
        <v>0</v>
      </c>
      <c r="D743" s="89"/>
      <c r="E743" s="91">
        <v>53925</v>
      </c>
      <c r="F743" s="88">
        <v>4</v>
      </c>
      <c r="G743" s="89" t="s">
        <v>2598</v>
      </c>
      <c r="H743" s="89" t="s">
        <v>2599</v>
      </c>
      <c r="I743" s="89" t="s">
        <v>80</v>
      </c>
      <c r="J743" s="89" t="s">
        <v>80</v>
      </c>
      <c r="K743" s="89" t="str">
        <f>"00052902"</f>
        <v>00052902</v>
      </c>
    </row>
    <row r="744" spans="1:11" ht="71.25" x14ac:dyDescent="0.25">
      <c r="A744" s="88">
        <v>108</v>
      </c>
      <c r="B744" s="89" t="s">
        <v>2542</v>
      </c>
      <c r="C744" s="88" t="s">
        <v>0</v>
      </c>
      <c r="D744" s="89"/>
      <c r="E744" s="91">
        <v>85744</v>
      </c>
      <c r="F744" s="88">
        <v>4</v>
      </c>
      <c r="G744" s="89" t="s">
        <v>2585</v>
      </c>
      <c r="H744" s="89" t="s">
        <v>2586</v>
      </c>
      <c r="I744" s="89" t="s">
        <v>80</v>
      </c>
      <c r="J744" s="89" t="s">
        <v>80</v>
      </c>
      <c r="K744" s="89" t="str">
        <f>"00052905"</f>
        <v>00052905</v>
      </c>
    </row>
    <row r="745" spans="1:11" ht="57" x14ac:dyDescent="0.25">
      <c r="A745" s="88">
        <v>108</v>
      </c>
      <c r="B745" s="89" t="s">
        <v>2595</v>
      </c>
      <c r="C745" s="88" t="s">
        <v>0</v>
      </c>
      <c r="D745" s="89"/>
      <c r="E745" s="91">
        <v>82092</v>
      </c>
      <c r="F745" s="88">
        <v>4</v>
      </c>
      <c r="G745" s="89" t="s">
        <v>2596</v>
      </c>
      <c r="H745" s="89" t="s">
        <v>2079</v>
      </c>
      <c r="I745" s="89" t="s">
        <v>32</v>
      </c>
      <c r="J745" s="89" t="s">
        <v>36</v>
      </c>
      <c r="K745" s="89" t="str">
        <f>"00052860"</f>
        <v>00052860</v>
      </c>
    </row>
    <row r="746" spans="1:11" ht="114" x14ac:dyDescent="0.25">
      <c r="A746" s="88">
        <v>108</v>
      </c>
      <c r="B746" s="89" t="s">
        <v>2605</v>
      </c>
      <c r="C746" s="88" t="s">
        <v>0</v>
      </c>
      <c r="D746" s="89"/>
      <c r="E746" s="91">
        <v>89944</v>
      </c>
      <c r="F746" s="88">
        <v>4</v>
      </c>
      <c r="G746" s="89" t="s">
        <v>2606</v>
      </c>
      <c r="H746" s="89" t="s">
        <v>2607</v>
      </c>
      <c r="I746" s="89" t="s">
        <v>32</v>
      </c>
      <c r="J746" s="89" t="s">
        <v>2608</v>
      </c>
      <c r="K746" s="89" t="str">
        <f>"00049120"</f>
        <v>00049120</v>
      </c>
    </row>
    <row r="747" spans="1:11" ht="42.75" x14ac:dyDescent="0.25">
      <c r="A747" s="88">
        <v>108</v>
      </c>
      <c r="B747" s="89" t="s">
        <v>547</v>
      </c>
      <c r="C747" s="88" t="s">
        <v>0</v>
      </c>
      <c r="D747" s="89"/>
      <c r="E747" s="91">
        <v>75171</v>
      </c>
      <c r="F747" s="88">
        <v>4</v>
      </c>
      <c r="G747" s="89" t="s">
        <v>548</v>
      </c>
      <c r="H747" s="89" t="s">
        <v>549</v>
      </c>
      <c r="I747" s="89" t="s">
        <v>32</v>
      </c>
      <c r="J747" s="89" t="s">
        <v>550</v>
      </c>
      <c r="K747" s="89" t="str">
        <f>"00047748"</f>
        <v>00047748</v>
      </c>
    </row>
    <row r="748" spans="1:11" ht="42.75" x14ac:dyDescent="0.25">
      <c r="A748" s="88">
        <v>108</v>
      </c>
      <c r="B748" s="89" t="s">
        <v>5709</v>
      </c>
      <c r="C748" s="88" t="s">
        <v>0</v>
      </c>
      <c r="D748" s="89"/>
      <c r="E748" s="91">
        <v>57455</v>
      </c>
      <c r="F748" s="88">
        <v>4</v>
      </c>
      <c r="G748" s="89" t="s">
        <v>4549</v>
      </c>
      <c r="H748" s="89" t="s">
        <v>4550</v>
      </c>
      <c r="I748" s="89" t="s">
        <v>66</v>
      </c>
      <c r="J748" s="89" t="s">
        <v>2033</v>
      </c>
      <c r="K748" s="89" t="str">
        <f>"00051026"</f>
        <v>00051026</v>
      </c>
    </row>
    <row r="749" spans="1:11" ht="42.75" x14ac:dyDescent="0.25">
      <c r="A749" s="88">
        <v>108</v>
      </c>
      <c r="B749" s="89" t="s">
        <v>5710</v>
      </c>
      <c r="C749" s="88" t="s">
        <v>0</v>
      </c>
      <c r="D749" s="89"/>
      <c r="E749" s="91">
        <v>18746</v>
      </c>
      <c r="F749" s="88">
        <v>4</v>
      </c>
      <c r="G749" s="89" t="s">
        <v>4555</v>
      </c>
      <c r="H749" s="89" t="s">
        <v>4556</v>
      </c>
      <c r="I749" s="89" t="s">
        <v>66</v>
      </c>
      <c r="J749" s="89" t="s">
        <v>332</v>
      </c>
      <c r="K749" s="89" t="str">
        <f>"00051831"</f>
        <v>00051831</v>
      </c>
    </row>
    <row r="750" spans="1:11" ht="42.75" x14ac:dyDescent="0.25">
      <c r="A750" s="88">
        <v>108</v>
      </c>
      <c r="B750" s="89" t="s">
        <v>5711</v>
      </c>
      <c r="C750" s="88" t="s">
        <v>0</v>
      </c>
      <c r="D750" s="89"/>
      <c r="E750" s="91">
        <v>36940</v>
      </c>
      <c r="F750" s="88">
        <v>4</v>
      </c>
      <c r="G750" s="89" t="s">
        <v>4564</v>
      </c>
      <c r="H750" s="89" t="s">
        <v>4565</v>
      </c>
      <c r="I750" s="89" t="s">
        <v>66</v>
      </c>
      <c r="J750" s="89" t="s">
        <v>332</v>
      </c>
      <c r="K750" s="89" t="str">
        <f>"00051525"</f>
        <v>00051525</v>
      </c>
    </row>
    <row r="751" spans="1:11" ht="57" x14ac:dyDescent="0.25">
      <c r="A751" s="88">
        <v>108</v>
      </c>
      <c r="B751" s="89" t="s">
        <v>5712</v>
      </c>
      <c r="C751" s="88" t="s">
        <v>0</v>
      </c>
      <c r="D751" s="89"/>
      <c r="E751" s="91">
        <v>107252</v>
      </c>
      <c r="F751" s="88">
        <v>4</v>
      </c>
      <c r="G751" s="89" t="s">
        <v>4547</v>
      </c>
      <c r="H751" s="89" t="s">
        <v>4548</v>
      </c>
      <c r="I751" s="89" t="s">
        <v>237</v>
      </c>
      <c r="J751" s="89" t="s">
        <v>338</v>
      </c>
      <c r="K751" s="89" t="str">
        <f>"00050126"</f>
        <v>00050126</v>
      </c>
    </row>
    <row r="752" spans="1:11" ht="42.75" x14ac:dyDescent="0.25">
      <c r="A752" s="88">
        <v>108</v>
      </c>
      <c r="B752" s="89" t="s">
        <v>5713</v>
      </c>
      <c r="C752" s="88" t="s">
        <v>0</v>
      </c>
      <c r="D752" s="89"/>
      <c r="E752" s="91">
        <v>30296</v>
      </c>
      <c r="F752" s="88">
        <v>4</v>
      </c>
      <c r="G752" s="89" t="s">
        <v>2588</v>
      </c>
      <c r="H752" s="89" t="s">
        <v>2589</v>
      </c>
      <c r="I752" s="89" t="s">
        <v>32</v>
      </c>
      <c r="J752" s="89" t="s">
        <v>2590</v>
      </c>
      <c r="K752" s="89" t="str">
        <f>"00052288"</f>
        <v>00052288</v>
      </c>
    </row>
    <row r="753" spans="1:11" ht="42.75" x14ac:dyDescent="0.25">
      <c r="A753" s="88">
        <v>108</v>
      </c>
      <c r="B753" s="89" t="s">
        <v>5713</v>
      </c>
      <c r="C753" s="88" t="s">
        <v>0</v>
      </c>
      <c r="D753" s="89"/>
      <c r="E753" s="91">
        <v>12594</v>
      </c>
      <c r="F753" s="88">
        <v>4</v>
      </c>
      <c r="G753" s="89" t="s">
        <v>2588</v>
      </c>
      <c r="H753" s="89" t="s">
        <v>2589</v>
      </c>
      <c r="I753" s="89" t="s">
        <v>32</v>
      </c>
      <c r="J753" s="89" t="s">
        <v>2590</v>
      </c>
      <c r="K753" s="89" t="str">
        <f>"00052261"</f>
        <v>00052261</v>
      </c>
    </row>
    <row r="754" spans="1:11" ht="57" x14ac:dyDescent="0.25">
      <c r="A754" s="88">
        <v>108</v>
      </c>
      <c r="B754" s="89" t="s">
        <v>5714</v>
      </c>
      <c r="C754" s="88" t="s">
        <v>0</v>
      </c>
      <c r="D754" s="89"/>
      <c r="E754" s="91">
        <v>93698</v>
      </c>
      <c r="F754" s="88">
        <v>4</v>
      </c>
      <c r="G754" s="89" t="s">
        <v>4424</v>
      </c>
      <c r="H754" s="89" t="s">
        <v>4425</v>
      </c>
      <c r="I754" s="89" t="s">
        <v>32</v>
      </c>
      <c r="J754" s="89" t="s">
        <v>708</v>
      </c>
      <c r="K754" s="89" t="str">
        <f>"00050496"</f>
        <v>00050496</v>
      </c>
    </row>
    <row r="755" spans="1:11" ht="57" x14ac:dyDescent="0.25">
      <c r="A755" s="88">
        <v>108</v>
      </c>
      <c r="B755" s="89" t="s">
        <v>5715</v>
      </c>
      <c r="C755" s="88" t="s">
        <v>0</v>
      </c>
      <c r="D755" s="89"/>
      <c r="E755" s="91">
        <v>57129</v>
      </c>
      <c r="F755" s="88">
        <v>4</v>
      </c>
      <c r="G755" s="89" t="s">
        <v>2536</v>
      </c>
      <c r="H755" s="89" t="s">
        <v>2537</v>
      </c>
      <c r="I755" s="89" t="s">
        <v>32</v>
      </c>
      <c r="J755" s="89" t="s">
        <v>2538</v>
      </c>
      <c r="K755" s="89" t="str">
        <f>"00049261"</f>
        <v>00049261</v>
      </c>
    </row>
    <row r="756" spans="1:11" ht="42.75" x14ac:dyDescent="0.25">
      <c r="A756" s="88">
        <v>108</v>
      </c>
      <c r="B756" s="89" t="s">
        <v>5716</v>
      </c>
      <c r="C756" s="88" t="s">
        <v>0</v>
      </c>
      <c r="D756" s="89"/>
      <c r="E756" s="91">
        <v>51305</v>
      </c>
      <c r="F756" s="88">
        <v>4</v>
      </c>
      <c r="G756" s="89" t="s">
        <v>5717</v>
      </c>
      <c r="H756" s="89" t="s">
        <v>4441</v>
      </c>
      <c r="I756" s="89" t="s">
        <v>17</v>
      </c>
      <c r="J756" s="89" t="s">
        <v>110</v>
      </c>
      <c r="K756" s="89" t="str">
        <f>"00049818"</f>
        <v>00049818</v>
      </c>
    </row>
    <row r="757" spans="1:11" ht="42.75" x14ac:dyDescent="0.25">
      <c r="A757" s="88">
        <v>108</v>
      </c>
      <c r="B757" s="89" t="s">
        <v>5718</v>
      </c>
      <c r="C757" s="88" t="s">
        <v>0</v>
      </c>
      <c r="D757" s="89"/>
      <c r="E757" s="91">
        <v>17578</v>
      </c>
      <c r="F757" s="88">
        <v>4</v>
      </c>
      <c r="G757" s="89" t="s">
        <v>531</v>
      </c>
      <c r="H757" s="89" t="s">
        <v>535</v>
      </c>
      <c r="I757" s="89" t="s">
        <v>94</v>
      </c>
      <c r="J757" s="89" t="s">
        <v>355</v>
      </c>
      <c r="K757" s="89" t="str">
        <f>"00049235"</f>
        <v>00049235</v>
      </c>
    </row>
    <row r="758" spans="1:11" ht="42.75" x14ac:dyDescent="0.25">
      <c r="A758" s="88">
        <v>108</v>
      </c>
      <c r="B758" s="89" t="s">
        <v>5583</v>
      </c>
      <c r="C758" s="88" t="s">
        <v>0</v>
      </c>
      <c r="D758" s="89"/>
      <c r="E758" s="91">
        <v>15000</v>
      </c>
      <c r="F758" s="88">
        <v>4</v>
      </c>
      <c r="G758" s="89" t="s">
        <v>523</v>
      </c>
      <c r="H758" s="89" t="s">
        <v>516</v>
      </c>
      <c r="I758" s="89" t="s">
        <v>66</v>
      </c>
      <c r="J758" s="89" t="s">
        <v>302</v>
      </c>
      <c r="K758" s="89" t="str">
        <f>"00047420"</f>
        <v>00047420</v>
      </c>
    </row>
    <row r="759" spans="1:11" ht="128.25" x14ac:dyDescent="0.25">
      <c r="A759" s="88">
        <v>108</v>
      </c>
      <c r="B759" s="89" t="s">
        <v>5719</v>
      </c>
      <c r="C759" s="88" t="s">
        <v>0</v>
      </c>
      <c r="D759" s="89"/>
      <c r="E759" s="91">
        <v>30003</v>
      </c>
      <c r="F759" s="88">
        <v>4</v>
      </c>
      <c r="G759" s="89" t="s">
        <v>2559</v>
      </c>
      <c r="H759" s="89" t="s">
        <v>2560</v>
      </c>
      <c r="I759" s="89" t="s">
        <v>32</v>
      </c>
      <c r="J759" s="89" t="s">
        <v>2561</v>
      </c>
      <c r="K759" s="89" t="str">
        <f>"00049115"</f>
        <v>00049115</v>
      </c>
    </row>
    <row r="760" spans="1:11" ht="42.75" x14ac:dyDescent="0.25">
      <c r="A760" s="88">
        <v>108</v>
      </c>
      <c r="B760" s="89" t="s">
        <v>5720</v>
      </c>
      <c r="C760" s="88" t="s">
        <v>0</v>
      </c>
      <c r="D760" s="89"/>
      <c r="E760" s="91">
        <v>3452</v>
      </c>
      <c r="F760" s="88">
        <v>4</v>
      </c>
      <c r="G760" s="89" t="s">
        <v>2549</v>
      </c>
      <c r="H760" s="89" t="s">
        <v>2550</v>
      </c>
      <c r="I760" s="89" t="s">
        <v>237</v>
      </c>
      <c r="J760" s="89" t="s">
        <v>338</v>
      </c>
      <c r="K760" s="89" t="str">
        <f>"00051126"</f>
        <v>00051126</v>
      </c>
    </row>
    <row r="761" spans="1:11" ht="42.75" x14ac:dyDescent="0.25">
      <c r="A761" s="88">
        <v>108</v>
      </c>
      <c r="B761" s="89" t="s">
        <v>5721</v>
      </c>
      <c r="C761" s="88" t="s">
        <v>0</v>
      </c>
      <c r="D761" s="89"/>
      <c r="E761" s="91">
        <v>5517</v>
      </c>
      <c r="F761" s="88">
        <v>4</v>
      </c>
      <c r="G761" s="89" t="s">
        <v>2565</v>
      </c>
      <c r="H761" s="89" t="s">
        <v>2566</v>
      </c>
      <c r="I761" s="89" t="s">
        <v>17</v>
      </c>
      <c r="J761" s="89" t="s">
        <v>110</v>
      </c>
      <c r="K761" s="89" t="str">
        <f>"00049726"</f>
        <v>00049726</v>
      </c>
    </row>
    <row r="762" spans="1:11" ht="85.5" x14ac:dyDescent="0.25">
      <c r="A762" s="88">
        <v>108</v>
      </c>
      <c r="B762" s="89" t="s">
        <v>5722</v>
      </c>
      <c r="C762" s="88" t="s">
        <v>0</v>
      </c>
      <c r="D762" s="89"/>
      <c r="E762" s="91">
        <v>181693</v>
      </c>
      <c r="F762" s="88">
        <v>4</v>
      </c>
      <c r="G762" s="89" t="s">
        <v>4483</v>
      </c>
      <c r="H762" s="89" t="s">
        <v>1676</v>
      </c>
      <c r="I762" s="89" t="s">
        <v>32</v>
      </c>
      <c r="J762" s="89" t="s">
        <v>1854</v>
      </c>
      <c r="K762" s="89" t="str">
        <f>"00050018"</f>
        <v>00050018</v>
      </c>
    </row>
    <row r="763" spans="1:11" ht="85.5" x14ac:dyDescent="0.25">
      <c r="A763" s="88">
        <v>108</v>
      </c>
      <c r="B763" s="89" t="s">
        <v>5723</v>
      </c>
      <c r="C763" s="88" t="s">
        <v>0</v>
      </c>
      <c r="D763" s="89"/>
      <c r="E763" s="91">
        <v>29276</v>
      </c>
      <c r="F763" s="88">
        <v>4</v>
      </c>
      <c r="G763" s="89" t="s">
        <v>4491</v>
      </c>
      <c r="H763" s="89" t="s">
        <v>4492</v>
      </c>
      <c r="I763" s="89" t="s">
        <v>32</v>
      </c>
      <c r="J763" s="89" t="s">
        <v>4493</v>
      </c>
      <c r="K763" s="89" t="str">
        <f>"00049423"</f>
        <v>00049423</v>
      </c>
    </row>
    <row r="764" spans="1:11" ht="28.5" x14ac:dyDescent="0.25">
      <c r="A764" s="88">
        <v>108</v>
      </c>
      <c r="B764" s="89" t="s">
        <v>12</v>
      </c>
      <c r="C764" s="88" t="s">
        <v>0</v>
      </c>
      <c r="D764" s="91">
        <v>75400000</v>
      </c>
      <c r="E764" s="59"/>
      <c r="F764" s="88">
        <v>4</v>
      </c>
      <c r="G764" s="89" t="s">
        <v>52</v>
      </c>
      <c r="H764" s="89"/>
      <c r="I764" s="89" t="s">
        <v>53</v>
      </c>
      <c r="J764" s="89"/>
      <c r="K764" s="89" t="str">
        <f>"　"</f>
        <v>　</v>
      </c>
    </row>
    <row r="765" spans="1:11" ht="42.75" x14ac:dyDescent="0.25">
      <c r="A765" s="88">
        <v>108</v>
      </c>
      <c r="B765" s="89" t="s">
        <v>631</v>
      </c>
      <c r="C765" s="88" t="s">
        <v>0</v>
      </c>
      <c r="D765" s="89"/>
      <c r="E765" s="91">
        <v>24652</v>
      </c>
      <c r="F765" s="88">
        <v>4</v>
      </c>
      <c r="G765" s="89" t="s">
        <v>632</v>
      </c>
      <c r="H765" s="89" t="s">
        <v>633</v>
      </c>
      <c r="I765" s="89" t="s">
        <v>66</v>
      </c>
      <c r="J765" s="89" t="s">
        <v>634</v>
      </c>
      <c r="K765" s="89" t="str">
        <f>"00046572"</f>
        <v>00046572</v>
      </c>
    </row>
    <row r="766" spans="1:11" ht="42.75" x14ac:dyDescent="0.25">
      <c r="A766" s="88">
        <v>108</v>
      </c>
      <c r="B766" s="89" t="s">
        <v>636</v>
      </c>
      <c r="C766" s="88" t="s">
        <v>0</v>
      </c>
      <c r="D766" s="89"/>
      <c r="E766" s="91">
        <v>23887</v>
      </c>
      <c r="F766" s="88">
        <v>4</v>
      </c>
      <c r="G766" s="89" t="s">
        <v>632</v>
      </c>
      <c r="H766" s="89" t="s">
        <v>633</v>
      </c>
      <c r="I766" s="89" t="s">
        <v>66</v>
      </c>
      <c r="J766" s="89" t="s">
        <v>634</v>
      </c>
      <c r="K766" s="89" t="str">
        <f>"00046637"</f>
        <v>00046637</v>
      </c>
    </row>
    <row r="767" spans="1:11" ht="42.75" x14ac:dyDescent="0.25">
      <c r="A767" s="88">
        <v>108</v>
      </c>
      <c r="B767" s="89" t="s">
        <v>612</v>
      </c>
      <c r="C767" s="88" t="s">
        <v>0</v>
      </c>
      <c r="D767" s="89"/>
      <c r="E767" s="91">
        <v>20741</v>
      </c>
      <c r="F767" s="88">
        <v>4</v>
      </c>
      <c r="G767" s="89" t="s">
        <v>624</v>
      </c>
      <c r="H767" s="89" t="s">
        <v>635</v>
      </c>
      <c r="I767" s="89" t="s">
        <v>94</v>
      </c>
      <c r="J767" s="89" t="s">
        <v>529</v>
      </c>
      <c r="K767" s="89" t="str">
        <f>"00046745"</f>
        <v>00046745</v>
      </c>
    </row>
    <row r="768" spans="1:11" ht="57" x14ac:dyDescent="0.25">
      <c r="A768" s="88">
        <v>108</v>
      </c>
      <c r="B768" s="89" t="s">
        <v>600</v>
      </c>
      <c r="C768" s="88" t="s">
        <v>0</v>
      </c>
      <c r="D768" s="89"/>
      <c r="E768" s="91">
        <v>36147</v>
      </c>
      <c r="F768" s="88">
        <v>4</v>
      </c>
      <c r="G768" s="89" t="s">
        <v>629</v>
      </c>
      <c r="H768" s="89" t="s">
        <v>246</v>
      </c>
      <c r="I768" s="89" t="s">
        <v>61</v>
      </c>
      <c r="J768" s="89" t="s">
        <v>630</v>
      </c>
      <c r="K768" s="89" t="str">
        <f>"00046845"</f>
        <v>00046845</v>
      </c>
    </row>
    <row r="769" spans="1:11" ht="42.75" x14ac:dyDescent="0.25">
      <c r="A769" s="88">
        <v>108</v>
      </c>
      <c r="B769" s="89" t="s">
        <v>623</v>
      </c>
      <c r="C769" s="88" t="s">
        <v>0</v>
      </c>
      <c r="D769" s="89"/>
      <c r="E769" s="91">
        <v>19579</v>
      </c>
      <c r="F769" s="88">
        <v>4</v>
      </c>
      <c r="G769" s="89" t="s">
        <v>624</v>
      </c>
      <c r="H769" s="89" t="s">
        <v>625</v>
      </c>
      <c r="I769" s="89" t="s">
        <v>94</v>
      </c>
      <c r="J769" s="89" t="s">
        <v>529</v>
      </c>
      <c r="K769" s="89" t="str">
        <f>"00046728"</f>
        <v>00046728</v>
      </c>
    </row>
    <row r="770" spans="1:11" ht="42.75" x14ac:dyDescent="0.25">
      <c r="A770" s="88">
        <v>108</v>
      </c>
      <c r="B770" s="89" t="s">
        <v>626</v>
      </c>
      <c r="C770" s="88" t="s">
        <v>0</v>
      </c>
      <c r="D770" s="89"/>
      <c r="E770" s="91">
        <v>15771</v>
      </c>
      <c r="F770" s="88">
        <v>4</v>
      </c>
      <c r="G770" s="89" t="s">
        <v>627</v>
      </c>
      <c r="H770" s="89" t="s">
        <v>628</v>
      </c>
      <c r="I770" s="89" t="s">
        <v>94</v>
      </c>
      <c r="J770" s="89" t="s">
        <v>529</v>
      </c>
      <c r="K770" s="89" t="str">
        <f>"00046732"</f>
        <v>00046732</v>
      </c>
    </row>
    <row r="771" spans="1:11" ht="42.75" x14ac:dyDescent="0.25">
      <c r="A771" s="88">
        <v>108</v>
      </c>
      <c r="B771" s="89" t="s">
        <v>623</v>
      </c>
      <c r="C771" s="88" t="s">
        <v>0</v>
      </c>
      <c r="D771" s="89"/>
      <c r="E771" s="91">
        <v>17000</v>
      </c>
      <c r="F771" s="88">
        <v>4</v>
      </c>
      <c r="G771" s="89" t="s">
        <v>627</v>
      </c>
      <c r="H771" s="89" t="s">
        <v>628</v>
      </c>
      <c r="I771" s="89" t="s">
        <v>94</v>
      </c>
      <c r="J771" s="89" t="s">
        <v>529</v>
      </c>
      <c r="K771" s="89" t="str">
        <f>"00046648"</f>
        <v>00046648</v>
      </c>
    </row>
    <row r="772" spans="1:11" ht="42.75" x14ac:dyDescent="0.25">
      <c r="A772" s="88">
        <v>108</v>
      </c>
      <c r="B772" s="89" t="s">
        <v>637</v>
      </c>
      <c r="C772" s="88" t="s">
        <v>0</v>
      </c>
      <c r="D772" s="89"/>
      <c r="E772" s="91">
        <v>75401</v>
      </c>
      <c r="F772" s="88">
        <v>4</v>
      </c>
      <c r="G772" s="89" t="s">
        <v>638</v>
      </c>
      <c r="H772" s="89" t="s">
        <v>639</v>
      </c>
      <c r="I772" s="89" t="s">
        <v>61</v>
      </c>
      <c r="J772" s="89" t="s">
        <v>501</v>
      </c>
      <c r="K772" s="89" t="str">
        <f>"00047356"</f>
        <v>00047356</v>
      </c>
    </row>
    <row r="773" spans="1:11" ht="42.75" x14ac:dyDescent="0.25">
      <c r="A773" s="88">
        <v>108</v>
      </c>
      <c r="B773" s="89" t="s">
        <v>597</v>
      </c>
      <c r="C773" s="88" t="s">
        <v>0</v>
      </c>
      <c r="D773" s="89"/>
      <c r="E773" s="91">
        <v>5125</v>
      </c>
      <c r="F773" s="88">
        <v>4</v>
      </c>
      <c r="G773" s="89" t="s">
        <v>598</v>
      </c>
      <c r="H773" s="89" t="s">
        <v>599</v>
      </c>
      <c r="I773" s="89" t="s">
        <v>66</v>
      </c>
      <c r="J773" s="89" t="s">
        <v>125</v>
      </c>
      <c r="K773" s="89" t="str">
        <f>"00047135"</f>
        <v>00047135</v>
      </c>
    </row>
    <row r="774" spans="1:11" ht="42.75" x14ac:dyDescent="0.25">
      <c r="A774" s="88">
        <v>108</v>
      </c>
      <c r="B774" s="89" t="s">
        <v>620</v>
      </c>
      <c r="C774" s="88" t="s">
        <v>0</v>
      </c>
      <c r="D774" s="89"/>
      <c r="E774" s="91">
        <v>36950</v>
      </c>
      <c r="F774" s="88">
        <v>4</v>
      </c>
      <c r="G774" s="89" t="s">
        <v>621</v>
      </c>
      <c r="H774" s="89" t="s">
        <v>622</v>
      </c>
      <c r="I774" s="89" t="s">
        <v>66</v>
      </c>
      <c r="J774" s="89" t="s">
        <v>125</v>
      </c>
      <c r="K774" s="89" t="str">
        <f>"00047556"</f>
        <v>00047556</v>
      </c>
    </row>
    <row r="775" spans="1:11" ht="71.25" x14ac:dyDescent="0.25">
      <c r="A775" s="88" t="s">
        <v>5859</v>
      </c>
      <c r="B775" s="89" t="s">
        <v>612</v>
      </c>
      <c r="C775" s="88" t="s">
        <v>0</v>
      </c>
      <c r="D775" s="89"/>
      <c r="E775" s="91">
        <v>149575</v>
      </c>
      <c r="F775" s="88">
        <v>4</v>
      </c>
      <c r="G775" s="89" t="s">
        <v>613</v>
      </c>
      <c r="H775" s="89" t="s">
        <v>614</v>
      </c>
      <c r="I775" s="89" t="s">
        <v>615</v>
      </c>
      <c r="J775" s="89" t="s">
        <v>616</v>
      </c>
      <c r="K775" s="89" t="str">
        <f>"00047579"</f>
        <v>00047579</v>
      </c>
    </row>
    <row r="776" spans="1:11" ht="42.75" x14ac:dyDescent="0.25">
      <c r="A776" s="88">
        <v>108</v>
      </c>
      <c r="B776" s="89" t="s">
        <v>612</v>
      </c>
      <c r="C776" s="88" t="s">
        <v>0</v>
      </c>
      <c r="D776" s="89"/>
      <c r="E776" s="91">
        <v>80273</v>
      </c>
      <c r="F776" s="88">
        <v>4</v>
      </c>
      <c r="G776" s="89" t="s">
        <v>617</v>
      </c>
      <c r="H776" s="89" t="s">
        <v>618</v>
      </c>
      <c r="I776" s="89" t="s">
        <v>17</v>
      </c>
      <c r="J776" s="89" t="s">
        <v>619</v>
      </c>
      <c r="K776" s="89" t="str">
        <f>"00047645"</f>
        <v>00047645</v>
      </c>
    </row>
    <row r="777" spans="1:11" ht="42.75" x14ac:dyDescent="0.25">
      <c r="A777" s="88">
        <v>108</v>
      </c>
      <c r="B777" s="89" t="s">
        <v>610</v>
      </c>
      <c r="C777" s="88" t="s">
        <v>0</v>
      </c>
      <c r="D777" s="89"/>
      <c r="E777" s="91">
        <v>30704</v>
      </c>
      <c r="F777" s="88">
        <v>4</v>
      </c>
      <c r="G777" s="89" t="s">
        <v>611</v>
      </c>
      <c r="H777" s="89" t="s">
        <v>512</v>
      </c>
      <c r="I777" s="89" t="s">
        <v>66</v>
      </c>
      <c r="J777" s="89" t="s">
        <v>125</v>
      </c>
      <c r="K777" s="89" t="str">
        <f>"00047419"</f>
        <v>00047419</v>
      </c>
    </row>
    <row r="778" spans="1:11" ht="42.75" x14ac:dyDescent="0.25">
      <c r="A778" s="88">
        <v>108</v>
      </c>
      <c r="B778" s="89" t="s">
        <v>603</v>
      </c>
      <c r="C778" s="88" t="s">
        <v>0</v>
      </c>
      <c r="D778" s="89"/>
      <c r="E778" s="91">
        <v>82876</v>
      </c>
      <c r="F778" s="88">
        <v>4</v>
      </c>
      <c r="G778" s="89" t="s">
        <v>604</v>
      </c>
      <c r="H778" s="89" t="s">
        <v>102</v>
      </c>
      <c r="I778" s="89" t="s">
        <v>32</v>
      </c>
      <c r="J778" s="89" t="s">
        <v>605</v>
      </c>
      <c r="K778" s="89" t="str">
        <f>"00047341"</f>
        <v>00047341</v>
      </c>
    </row>
    <row r="779" spans="1:11" ht="71.25" x14ac:dyDescent="0.25">
      <c r="A779" s="88">
        <v>108</v>
      </c>
      <c r="B779" s="89" t="s">
        <v>606</v>
      </c>
      <c r="C779" s="88" t="s">
        <v>0</v>
      </c>
      <c r="D779" s="89"/>
      <c r="E779" s="91">
        <v>29522</v>
      </c>
      <c r="F779" s="88">
        <v>4</v>
      </c>
      <c r="G779" s="89" t="s">
        <v>607</v>
      </c>
      <c r="H779" s="89" t="s">
        <v>608</v>
      </c>
      <c r="I779" s="89" t="s">
        <v>66</v>
      </c>
      <c r="J779" s="89" t="s">
        <v>609</v>
      </c>
      <c r="K779" s="89" t="str">
        <f>"00047347"</f>
        <v>00047347</v>
      </c>
    </row>
    <row r="780" spans="1:11" ht="114" x14ac:dyDescent="0.25">
      <c r="A780" s="88">
        <v>108</v>
      </c>
      <c r="B780" s="89" t="s">
        <v>597</v>
      </c>
      <c r="C780" s="88" t="s">
        <v>0</v>
      </c>
      <c r="D780" s="89"/>
      <c r="E780" s="91">
        <v>42952</v>
      </c>
      <c r="F780" s="88">
        <v>4</v>
      </c>
      <c r="G780" s="89" t="s">
        <v>2800</v>
      </c>
      <c r="H780" s="89" t="s">
        <v>2801</v>
      </c>
      <c r="I780" s="89" t="s">
        <v>2802</v>
      </c>
      <c r="J780" s="89" t="s">
        <v>2803</v>
      </c>
      <c r="K780" s="89" t="str">
        <f>"00048879"</f>
        <v>00048879</v>
      </c>
    </row>
    <row r="781" spans="1:11" ht="42.75" x14ac:dyDescent="0.25">
      <c r="A781" s="88">
        <v>108</v>
      </c>
      <c r="B781" s="89" t="s">
        <v>600</v>
      </c>
      <c r="C781" s="88" t="s">
        <v>0</v>
      </c>
      <c r="D781" s="89"/>
      <c r="E781" s="91">
        <v>29533</v>
      </c>
      <c r="F781" s="88">
        <v>4</v>
      </c>
      <c r="G781" s="89" t="s">
        <v>2727</v>
      </c>
      <c r="H781" s="89" t="s">
        <v>1491</v>
      </c>
      <c r="I781" s="89" t="s">
        <v>242</v>
      </c>
      <c r="J781" s="89" t="s">
        <v>243</v>
      </c>
      <c r="K781" s="89" t="str">
        <f>"00047977"</f>
        <v>00047977</v>
      </c>
    </row>
    <row r="782" spans="1:11" ht="57" x14ac:dyDescent="0.25">
      <c r="A782" s="88">
        <v>108</v>
      </c>
      <c r="B782" s="89" t="s">
        <v>623</v>
      </c>
      <c r="C782" s="88" t="s">
        <v>0</v>
      </c>
      <c r="D782" s="89"/>
      <c r="E782" s="91">
        <v>82852</v>
      </c>
      <c r="F782" s="88">
        <v>4</v>
      </c>
      <c r="G782" s="89" t="s">
        <v>2804</v>
      </c>
      <c r="H782" s="89" t="s">
        <v>773</v>
      </c>
      <c r="I782" s="89" t="s">
        <v>225</v>
      </c>
      <c r="J782" s="89" t="s">
        <v>2805</v>
      </c>
      <c r="K782" s="89" t="str">
        <f>"00047792"</f>
        <v>00047792</v>
      </c>
    </row>
    <row r="783" spans="1:11" ht="42.75" x14ac:dyDescent="0.25">
      <c r="A783" s="88">
        <v>108</v>
      </c>
      <c r="B783" s="89" t="s">
        <v>631</v>
      </c>
      <c r="C783" s="88" t="s">
        <v>0</v>
      </c>
      <c r="D783" s="89"/>
      <c r="E783" s="91">
        <v>70844</v>
      </c>
      <c r="F783" s="88">
        <v>4</v>
      </c>
      <c r="G783" s="89" t="s">
        <v>2788</v>
      </c>
      <c r="H783" s="89" t="s">
        <v>2789</v>
      </c>
      <c r="I783" s="89" t="s">
        <v>237</v>
      </c>
      <c r="J783" s="89" t="s">
        <v>1279</v>
      </c>
      <c r="K783" s="89" t="str">
        <f>"00048439"</f>
        <v>00048439</v>
      </c>
    </row>
    <row r="784" spans="1:11" ht="42.75" x14ac:dyDescent="0.25">
      <c r="A784" s="88">
        <v>108</v>
      </c>
      <c r="B784" s="89" t="s">
        <v>631</v>
      </c>
      <c r="C784" s="88" t="s">
        <v>0</v>
      </c>
      <c r="D784" s="89"/>
      <c r="E784" s="91">
        <v>69369</v>
      </c>
      <c r="F784" s="88">
        <v>4</v>
      </c>
      <c r="G784" s="89" t="s">
        <v>2790</v>
      </c>
      <c r="H784" s="89" t="s">
        <v>1856</v>
      </c>
      <c r="I784" s="89" t="s">
        <v>237</v>
      </c>
      <c r="J784" s="89" t="s">
        <v>1279</v>
      </c>
      <c r="K784" s="89" t="str">
        <f>"00048437"</f>
        <v>00048437</v>
      </c>
    </row>
    <row r="785" spans="1:11" ht="99.75" x14ac:dyDescent="0.25">
      <c r="A785" s="88">
        <v>108</v>
      </c>
      <c r="B785" s="89" t="s">
        <v>2732</v>
      </c>
      <c r="C785" s="88" t="s">
        <v>0</v>
      </c>
      <c r="D785" s="89"/>
      <c r="E785" s="91">
        <v>166661</v>
      </c>
      <c r="F785" s="88">
        <v>4</v>
      </c>
      <c r="G785" s="89" t="s">
        <v>2797</v>
      </c>
      <c r="H785" s="89" t="s">
        <v>2798</v>
      </c>
      <c r="I785" s="89" t="s">
        <v>2782</v>
      </c>
      <c r="J785" s="89" t="s">
        <v>2799</v>
      </c>
      <c r="K785" s="89" t="str">
        <f>"00048067"</f>
        <v>00048067</v>
      </c>
    </row>
    <row r="786" spans="1:11" ht="42.75" x14ac:dyDescent="0.25">
      <c r="A786" s="88">
        <v>108</v>
      </c>
      <c r="B786" s="89" t="s">
        <v>600</v>
      </c>
      <c r="C786" s="88" t="s">
        <v>0</v>
      </c>
      <c r="D786" s="89"/>
      <c r="E786" s="91">
        <v>36315</v>
      </c>
      <c r="F786" s="88">
        <v>4</v>
      </c>
      <c r="G786" s="89" t="s">
        <v>601</v>
      </c>
      <c r="H786" s="89" t="s">
        <v>602</v>
      </c>
      <c r="I786" s="89" t="s">
        <v>66</v>
      </c>
      <c r="J786" s="89" t="s">
        <v>125</v>
      </c>
      <c r="K786" s="89" t="str">
        <f>"00046847"</f>
        <v>00046847</v>
      </c>
    </row>
    <row r="787" spans="1:11" ht="57" x14ac:dyDescent="0.25">
      <c r="A787" s="88">
        <v>108</v>
      </c>
      <c r="B787" s="89" t="s">
        <v>1242</v>
      </c>
      <c r="C787" s="88" t="s">
        <v>0</v>
      </c>
      <c r="D787" s="89"/>
      <c r="E787" s="91">
        <v>88499</v>
      </c>
      <c r="F787" s="88">
        <v>4</v>
      </c>
      <c r="G787" s="89" t="s">
        <v>2795</v>
      </c>
      <c r="H787" s="89" t="s">
        <v>2796</v>
      </c>
      <c r="I787" s="89" t="s">
        <v>763</v>
      </c>
      <c r="J787" s="89" t="s">
        <v>1941</v>
      </c>
      <c r="K787" s="89" t="str">
        <f>"00048934"</f>
        <v>00048934</v>
      </c>
    </row>
    <row r="788" spans="1:11" ht="42.75" x14ac:dyDescent="0.25">
      <c r="A788" s="88">
        <v>108</v>
      </c>
      <c r="B788" s="89" t="s">
        <v>1245</v>
      </c>
      <c r="C788" s="88" t="s">
        <v>0</v>
      </c>
      <c r="D788" s="89"/>
      <c r="E788" s="91">
        <v>81593</v>
      </c>
      <c r="F788" s="88">
        <v>4</v>
      </c>
      <c r="G788" s="89" t="s">
        <v>2784</v>
      </c>
      <c r="H788" s="89" t="s">
        <v>2785</v>
      </c>
      <c r="I788" s="89" t="s">
        <v>2786</v>
      </c>
      <c r="J788" s="89" t="s">
        <v>2787</v>
      </c>
      <c r="K788" s="89" t="str">
        <f>"00047616"</f>
        <v>00047616</v>
      </c>
    </row>
    <row r="789" spans="1:11" ht="42.75" x14ac:dyDescent="0.25">
      <c r="A789" s="88">
        <v>108</v>
      </c>
      <c r="B789" s="89" t="s">
        <v>637</v>
      </c>
      <c r="C789" s="88" t="s">
        <v>0</v>
      </c>
      <c r="D789" s="89"/>
      <c r="E789" s="91">
        <v>74585</v>
      </c>
      <c r="F789" s="88">
        <v>4</v>
      </c>
      <c r="G789" s="89" t="s">
        <v>2791</v>
      </c>
      <c r="H789" s="89" t="s">
        <v>2792</v>
      </c>
      <c r="I789" s="89" t="s">
        <v>2793</v>
      </c>
      <c r="J789" s="89" t="s">
        <v>2794</v>
      </c>
      <c r="K789" s="89" t="str">
        <f>"00049156"</f>
        <v>00049156</v>
      </c>
    </row>
    <row r="790" spans="1:11" ht="71.25" x14ac:dyDescent="0.25">
      <c r="A790" s="88">
        <v>108</v>
      </c>
      <c r="B790" s="89" t="s">
        <v>2724</v>
      </c>
      <c r="C790" s="88" t="s">
        <v>0</v>
      </c>
      <c r="D790" s="89"/>
      <c r="E790" s="91">
        <v>20796</v>
      </c>
      <c r="F790" s="88">
        <v>4</v>
      </c>
      <c r="G790" s="89" t="s">
        <v>2725</v>
      </c>
      <c r="H790" s="89" t="s">
        <v>2726</v>
      </c>
      <c r="I790" s="89" t="s">
        <v>66</v>
      </c>
      <c r="J790" s="89" t="s">
        <v>125</v>
      </c>
      <c r="K790" s="89" t="str">
        <f>"00048011"</f>
        <v>00048011</v>
      </c>
    </row>
    <row r="791" spans="1:11" ht="42.75" x14ac:dyDescent="0.25">
      <c r="A791" s="88">
        <v>108</v>
      </c>
      <c r="B791" s="89" t="s">
        <v>600</v>
      </c>
      <c r="C791" s="88" t="s">
        <v>0</v>
      </c>
      <c r="D791" s="89"/>
      <c r="E791" s="91">
        <v>49096</v>
      </c>
      <c r="F791" s="88">
        <v>4</v>
      </c>
      <c r="G791" s="89" t="s">
        <v>2727</v>
      </c>
      <c r="H791" s="89" t="s">
        <v>1491</v>
      </c>
      <c r="I791" s="89" t="s">
        <v>242</v>
      </c>
      <c r="J791" s="89" t="s">
        <v>243</v>
      </c>
      <c r="K791" s="89" t="str">
        <f>"00048648"</f>
        <v>00048648</v>
      </c>
    </row>
    <row r="792" spans="1:11" ht="71.25" x14ac:dyDescent="0.25">
      <c r="A792" s="88">
        <v>108</v>
      </c>
      <c r="B792" s="89" t="s">
        <v>623</v>
      </c>
      <c r="C792" s="88" t="s">
        <v>0</v>
      </c>
      <c r="D792" s="89"/>
      <c r="E792" s="91">
        <v>67848</v>
      </c>
      <c r="F792" s="88">
        <v>4</v>
      </c>
      <c r="G792" s="89" t="s">
        <v>2728</v>
      </c>
      <c r="H792" s="89" t="s">
        <v>2729</v>
      </c>
      <c r="I792" s="89" t="s">
        <v>2730</v>
      </c>
      <c r="J792" s="89" t="s">
        <v>2731</v>
      </c>
      <c r="K792" s="89" t="str">
        <f>"00048758"</f>
        <v>00048758</v>
      </c>
    </row>
    <row r="793" spans="1:11" ht="71.25" x14ac:dyDescent="0.25">
      <c r="A793" s="88">
        <v>108</v>
      </c>
      <c r="B793" s="89" t="s">
        <v>631</v>
      </c>
      <c r="C793" s="88" t="s">
        <v>0</v>
      </c>
      <c r="D793" s="89"/>
      <c r="E793" s="91">
        <v>113804</v>
      </c>
      <c r="F793" s="88">
        <v>4</v>
      </c>
      <c r="G793" s="89" t="s">
        <v>2778</v>
      </c>
      <c r="H793" s="89" t="s">
        <v>1429</v>
      </c>
      <c r="I793" s="89" t="s">
        <v>185</v>
      </c>
      <c r="J793" s="89" t="s">
        <v>2779</v>
      </c>
      <c r="K793" s="89" t="str">
        <f>"00048920"</f>
        <v>00048920</v>
      </c>
    </row>
    <row r="794" spans="1:11" ht="114" x14ac:dyDescent="0.25">
      <c r="A794" s="88">
        <v>108</v>
      </c>
      <c r="B794" s="89" t="s">
        <v>1245</v>
      </c>
      <c r="C794" s="88" t="s">
        <v>0</v>
      </c>
      <c r="D794" s="89"/>
      <c r="E794" s="91">
        <v>102995</v>
      </c>
      <c r="F794" s="88">
        <v>4</v>
      </c>
      <c r="G794" s="89" t="s">
        <v>2780</v>
      </c>
      <c r="H794" s="89" t="s">
        <v>2781</v>
      </c>
      <c r="I794" s="89" t="s">
        <v>2782</v>
      </c>
      <c r="J794" s="89" t="s">
        <v>2783</v>
      </c>
      <c r="K794" s="89" t="str">
        <f>"00048254"</f>
        <v>00048254</v>
      </c>
    </row>
    <row r="795" spans="1:11" ht="42.75" x14ac:dyDescent="0.25">
      <c r="A795" s="88">
        <v>108</v>
      </c>
      <c r="B795" s="89" t="s">
        <v>2770</v>
      </c>
      <c r="C795" s="88" t="s">
        <v>0</v>
      </c>
      <c r="D795" s="89"/>
      <c r="E795" s="91">
        <v>62655</v>
      </c>
      <c r="F795" s="88">
        <v>4</v>
      </c>
      <c r="G795" s="89" t="s">
        <v>2771</v>
      </c>
      <c r="H795" s="89" t="s">
        <v>2774</v>
      </c>
      <c r="I795" s="89" t="s">
        <v>225</v>
      </c>
      <c r="J795" s="89" t="s">
        <v>2773</v>
      </c>
      <c r="K795" s="89" t="str">
        <f>"00048906"</f>
        <v>00048906</v>
      </c>
    </row>
    <row r="796" spans="1:11" ht="57" x14ac:dyDescent="0.25">
      <c r="A796" s="88">
        <v>108</v>
      </c>
      <c r="B796" s="89" t="s">
        <v>2770</v>
      </c>
      <c r="C796" s="88" t="s">
        <v>0</v>
      </c>
      <c r="D796" s="89"/>
      <c r="E796" s="91">
        <v>80122</v>
      </c>
      <c r="F796" s="88">
        <v>4</v>
      </c>
      <c r="G796" s="89" t="s">
        <v>2771</v>
      </c>
      <c r="H796" s="89" t="s">
        <v>2775</v>
      </c>
      <c r="I796" s="89" t="s">
        <v>2776</v>
      </c>
      <c r="J796" s="89" t="s">
        <v>2777</v>
      </c>
      <c r="K796" s="89" t="str">
        <f>"00048780"</f>
        <v>00048780</v>
      </c>
    </row>
    <row r="797" spans="1:11" ht="42.75" x14ac:dyDescent="0.25">
      <c r="A797" s="88">
        <v>108</v>
      </c>
      <c r="B797" s="89" t="s">
        <v>2770</v>
      </c>
      <c r="C797" s="88" t="s">
        <v>0</v>
      </c>
      <c r="D797" s="89"/>
      <c r="E797" s="91">
        <v>68088</v>
      </c>
      <c r="F797" s="88">
        <v>4</v>
      </c>
      <c r="G797" s="89" t="s">
        <v>2771</v>
      </c>
      <c r="H797" s="89" t="s">
        <v>2772</v>
      </c>
      <c r="I797" s="89" t="s">
        <v>225</v>
      </c>
      <c r="J797" s="89" t="s">
        <v>2773</v>
      </c>
      <c r="K797" s="89" t="str">
        <f>"00049096"</f>
        <v>00049096</v>
      </c>
    </row>
    <row r="798" spans="1:11" ht="42.75" x14ac:dyDescent="0.25">
      <c r="A798" s="88">
        <v>108</v>
      </c>
      <c r="B798" s="89" t="s">
        <v>2753</v>
      </c>
      <c r="C798" s="88" t="s">
        <v>0</v>
      </c>
      <c r="D798" s="89"/>
      <c r="E798" s="91">
        <v>88976</v>
      </c>
      <c r="F798" s="88">
        <v>4</v>
      </c>
      <c r="G798" s="89" t="s">
        <v>2755</v>
      </c>
      <c r="H798" s="89" t="s">
        <v>1670</v>
      </c>
      <c r="I798" s="89" t="s">
        <v>106</v>
      </c>
      <c r="J798" s="89" t="s">
        <v>2749</v>
      </c>
      <c r="K798" s="89" t="str">
        <f>"00049611"</f>
        <v>00049611</v>
      </c>
    </row>
    <row r="799" spans="1:11" ht="42.75" x14ac:dyDescent="0.25">
      <c r="A799" s="88">
        <v>108</v>
      </c>
      <c r="B799" s="89" t="s">
        <v>2753</v>
      </c>
      <c r="C799" s="88" t="s">
        <v>0</v>
      </c>
      <c r="D799" s="89"/>
      <c r="E799" s="91">
        <v>80108</v>
      </c>
      <c r="F799" s="88">
        <v>4</v>
      </c>
      <c r="G799" s="89" t="s">
        <v>2754</v>
      </c>
      <c r="H799" s="89" t="s">
        <v>2010</v>
      </c>
      <c r="I799" s="89" t="s">
        <v>106</v>
      </c>
      <c r="J799" s="89" t="s">
        <v>2749</v>
      </c>
      <c r="K799" s="89" t="str">
        <f>"00049784"</f>
        <v>00049784</v>
      </c>
    </row>
    <row r="800" spans="1:11" ht="42.75" x14ac:dyDescent="0.25">
      <c r="A800" s="88">
        <v>108</v>
      </c>
      <c r="B800" s="89" t="s">
        <v>603</v>
      </c>
      <c r="C800" s="88" t="s">
        <v>0</v>
      </c>
      <c r="D800" s="89"/>
      <c r="E800" s="91">
        <v>10068</v>
      </c>
      <c r="F800" s="88">
        <v>4</v>
      </c>
      <c r="G800" s="89" t="s">
        <v>2756</v>
      </c>
      <c r="H800" s="89" t="s">
        <v>2758</v>
      </c>
      <c r="I800" s="89" t="s">
        <v>66</v>
      </c>
      <c r="J800" s="89" t="s">
        <v>99</v>
      </c>
      <c r="K800" s="89" t="str">
        <f>"00049538"</f>
        <v>00049538</v>
      </c>
    </row>
    <row r="801" spans="1:11" ht="42.75" x14ac:dyDescent="0.25">
      <c r="A801" s="88">
        <v>108</v>
      </c>
      <c r="B801" s="89" t="s">
        <v>2770</v>
      </c>
      <c r="C801" s="88" t="s">
        <v>0</v>
      </c>
      <c r="D801" s="89"/>
      <c r="E801" s="91">
        <v>65523</v>
      </c>
      <c r="F801" s="88">
        <v>4</v>
      </c>
      <c r="G801" s="89" t="s">
        <v>2771</v>
      </c>
      <c r="H801" s="89" t="s">
        <v>2774</v>
      </c>
      <c r="I801" s="89" t="s">
        <v>225</v>
      </c>
      <c r="J801" s="89" t="s">
        <v>2773</v>
      </c>
      <c r="K801" s="89" t="str">
        <f>"00049008"</f>
        <v>00049008</v>
      </c>
    </row>
    <row r="802" spans="1:11" ht="42.75" x14ac:dyDescent="0.25">
      <c r="A802" s="88">
        <v>108</v>
      </c>
      <c r="B802" s="89" t="s">
        <v>603</v>
      </c>
      <c r="C802" s="88" t="s">
        <v>0</v>
      </c>
      <c r="D802" s="89"/>
      <c r="E802" s="91">
        <v>17547</v>
      </c>
      <c r="F802" s="88">
        <v>4</v>
      </c>
      <c r="G802" s="89" t="s">
        <v>2756</v>
      </c>
      <c r="H802" s="89" t="s">
        <v>2757</v>
      </c>
      <c r="I802" s="89" t="s">
        <v>66</v>
      </c>
      <c r="J802" s="89" t="s">
        <v>99</v>
      </c>
      <c r="K802" s="89" t="str">
        <f>"00049735"</f>
        <v>00049735</v>
      </c>
    </row>
    <row r="803" spans="1:11" ht="42.75" x14ac:dyDescent="0.25">
      <c r="A803" s="88">
        <v>108</v>
      </c>
      <c r="B803" s="89" t="s">
        <v>1245</v>
      </c>
      <c r="C803" s="88" t="s">
        <v>0</v>
      </c>
      <c r="D803" s="89"/>
      <c r="E803" s="91">
        <v>103763</v>
      </c>
      <c r="F803" s="88">
        <v>4</v>
      </c>
      <c r="G803" s="89" t="s">
        <v>2762</v>
      </c>
      <c r="H803" s="89" t="s">
        <v>2763</v>
      </c>
      <c r="I803" s="89" t="s">
        <v>185</v>
      </c>
      <c r="J803" s="89" t="s">
        <v>2764</v>
      </c>
      <c r="K803" s="89" t="str">
        <f>"00049112"</f>
        <v>00049112</v>
      </c>
    </row>
    <row r="804" spans="1:11" ht="42.75" x14ac:dyDescent="0.25">
      <c r="A804" s="88">
        <v>108</v>
      </c>
      <c r="B804" s="89" t="s">
        <v>610</v>
      </c>
      <c r="C804" s="88" t="s">
        <v>0</v>
      </c>
      <c r="D804" s="89"/>
      <c r="E804" s="91">
        <v>92183</v>
      </c>
      <c r="F804" s="88">
        <v>4</v>
      </c>
      <c r="G804" s="89" t="s">
        <v>2748</v>
      </c>
      <c r="H804" s="89" t="s">
        <v>2683</v>
      </c>
      <c r="I804" s="89" t="s">
        <v>106</v>
      </c>
      <c r="J804" s="89" t="s">
        <v>2749</v>
      </c>
      <c r="K804" s="89" t="str">
        <f>"00049466"</f>
        <v>00049466</v>
      </c>
    </row>
    <row r="805" spans="1:11" ht="42.75" x14ac:dyDescent="0.25">
      <c r="A805" s="88">
        <v>108</v>
      </c>
      <c r="B805" s="89" t="s">
        <v>606</v>
      </c>
      <c r="C805" s="88" t="s">
        <v>0</v>
      </c>
      <c r="D805" s="89"/>
      <c r="E805" s="91">
        <v>56389</v>
      </c>
      <c r="F805" s="88">
        <v>4</v>
      </c>
      <c r="G805" s="89" t="s">
        <v>2750</v>
      </c>
      <c r="H805" s="89" t="s">
        <v>2751</v>
      </c>
      <c r="I805" s="89" t="s">
        <v>66</v>
      </c>
      <c r="J805" s="89" t="s">
        <v>2752</v>
      </c>
      <c r="K805" s="89" t="str">
        <f>"00050252"</f>
        <v>00050252</v>
      </c>
    </row>
    <row r="806" spans="1:11" ht="128.25" x14ac:dyDescent="0.25">
      <c r="A806" s="88">
        <v>108</v>
      </c>
      <c r="B806" s="89" t="s">
        <v>1209</v>
      </c>
      <c r="C806" s="88" t="s">
        <v>0</v>
      </c>
      <c r="D806" s="89"/>
      <c r="E806" s="91">
        <v>178697</v>
      </c>
      <c r="F806" s="88">
        <v>4</v>
      </c>
      <c r="G806" s="89" t="s">
        <v>2736</v>
      </c>
      <c r="H806" s="89" t="s">
        <v>2737</v>
      </c>
      <c r="I806" s="89" t="s">
        <v>2738</v>
      </c>
      <c r="J806" s="89" t="s">
        <v>2739</v>
      </c>
      <c r="K806" s="89" t="str">
        <f>"00048676"</f>
        <v>00048676</v>
      </c>
    </row>
    <row r="807" spans="1:11" ht="114" x14ac:dyDescent="0.25">
      <c r="A807" s="88">
        <v>108</v>
      </c>
      <c r="B807" s="89" t="s">
        <v>610</v>
      </c>
      <c r="C807" s="88" t="s">
        <v>0</v>
      </c>
      <c r="D807" s="89"/>
      <c r="E807" s="91">
        <v>159490</v>
      </c>
      <c r="F807" s="88">
        <v>4</v>
      </c>
      <c r="G807" s="89" t="s">
        <v>2744</v>
      </c>
      <c r="H807" s="89" t="s">
        <v>2745</v>
      </c>
      <c r="I807" s="89" t="s">
        <v>2746</v>
      </c>
      <c r="J807" s="89" t="s">
        <v>2747</v>
      </c>
      <c r="K807" s="89" t="str">
        <f>"00048864"</f>
        <v>00048864</v>
      </c>
    </row>
    <row r="808" spans="1:11" ht="42.75" x14ac:dyDescent="0.25">
      <c r="A808" s="88">
        <v>108</v>
      </c>
      <c r="B808" s="89" t="s">
        <v>2732</v>
      </c>
      <c r="C808" s="88" t="s">
        <v>0</v>
      </c>
      <c r="D808" s="89"/>
      <c r="E808" s="91">
        <v>82967</v>
      </c>
      <c r="F808" s="88">
        <v>4</v>
      </c>
      <c r="G808" s="89" t="s">
        <v>2733</v>
      </c>
      <c r="H808" s="89" t="s">
        <v>2734</v>
      </c>
      <c r="I808" s="89" t="s">
        <v>242</v>
      </c>
      <c r="J808" s="89" t="s">
        <v>2735</v>
      </c>
      <c r="K808" s="89" t="str">
        <f>"00049454"</f>
        <v>00049454</v>
      </c>
    </row>
    <row r="809" spans="1:11" ht="142.5" x14ac:dyDescent="0.25">
      <c r="A809" s="88">
        <v>108</v>
      </c>
      <c r="B809" s="89" t="s">
        <v>2740</v>
      </c>
      <c r="C809" s="88" t="s">
        <v>0</v>
      </c>
      <c r="D809" s="89"/>
      <c r="E809" s="91">
        <v>172366</v>
      </c>
      <c r="F809" s="88">
        <v>4</v>
      </c>
      <c r="G809" s="89" t="s">
        <v>2741</v>
      </c>
      <c r="H809" s="89" t="s">
        <v>2737</v>
      </c>
      <c r="I809" s="89" t="s">
        <v>2742</v>
      </c>
      <c r="J809" s="89" t="s">
        <v>2743</v>
      </c>
      <c r="K809" s="89" t="str">
        <f>"00048583"</f>
        <v>00048583</v>
      </c>
    </row>
    <row r="810" spans="1:11" ht="57" x14ac:dyDescent="0.25">
      <c r="A810" s="88">
        <v>108</v>
      </c>
      <c r="B810" s="89" t="s">
        <v>1242</v>
      </c>
      <c r="C810" s="88" t="s">
        <v>0</v>
      </c>
      <c r="D810" s="89"/>
      <c r="E810" s="91">
        <v>125845</v>
      </c>
      <c r="F810" s="88">
        <v>4</v>
      </c>
      <c r="G810" s="89" t="s">
        <v>2765</v>
      </c>
      <c r="H810" s="89" t="s">
        <v>2766</v>
      </c>
      <c r="I810" s="89" t="s">
        <v>32</v>
      </c>
      <c r="J810" s="89" t="s">
        <v>2252</v>
      </c>
      <c r="K810" s="89" t="str">
        <f>"00050113"</f>
        <v>00050113</v>
      </c>
    </row>
    <row r="811" spans="1:11" ht="71.25" x14ac:dyDescent="0.25">
      <c r="A811" s="88">
        <v>108</v>
      </c>
      <c r="B811" s="89" t="s">
        <v>2767</v>
      </c>
      <c r="C811" s="88" t="s">
        <v>0</v>
      </c>
      <c r="D811" s="89"/>
      <c r="E811" s="91">
        <v>118557</v>
      </c>
      <c r="F811" s="88">
        <v>4</v>
      </c>
      <c r="G811" s="89" t="s">
        <v>2768</v>
      </c>
      <c r="H811" s="89" t="s">
        <v>2769</v>
      </c>
      <c r="I811" s="89" t="s">
        <v>839</v>
      </c>
      <c r="J811" s="89" t="s">
        <v>840</v>
      </c>
      <c r="K811" s="89" t="str">
        <f>"00050536"</f>
        <v>00050536</v>
      </c>
    </row>
    <row r="812" spans="1:11" ht="57" x14ac:dyDescent="0.25">
      <c r="A812" s="88">
        <v>108</v>
      </c>
      <c r="B812" s="89" t="s">
        <v>606</v>
      </c>
      <c r="C812" s="88" t="s">
        <v>0</v>
      </c>
      <c r="D812" s="89"/>
      <c r="E812" s="91">
        <v>50339</v>
      </c>
      <c r="F812" s="88">
        <v>4</v>
      </c>
      <c r="G812" s="89" t="s">
        <v>2721</v>
      </c>
      <c r="H812" s="89" t="s">
        <v>2722</v>
      </c>
      <c r="I812" s="89" t="s">
        <v>66</v>
      </c>
      <c r="J812" s="89" t="s">
        <v>2723</v>
      </c>
      <c r="K812" s="89" t="str">
        <f>"00050626"</f>
        <v>00050626</v>
      </c>
    </row>
    <row r="813" spans="1:11" ht="42.75" x14ac:dyDescent="0.25">
      <c r="A813" s="88">
        <v>108</v>
      </c>
      <c r="B813" s="89" t="s">
        <v>2717</v>
      </c>
      <c r="C813" s="88" t="s">
        <v>0</v>
      </c>
      <c r="D813" s="89"/>
      <c r="E813" s="91">
        <v>27764</v>
      </c>
      <c r="F813" s="88">
        <v>4</v>
      </c>
      <c r="G813" s="89" t="s">
        <v>2718</v>
      </c>
      <c r="H813" s="89" t="s">
        <v>2719</v>
      </c>
      <c r="I813" s="89" t="s">
        <v>66</v>
      </c>
      <c r="J813" s="89" t="s">
        <v>2720</v>
      </c>
      <c r="K813" s="89" t="str">
        <f>"00051016"</f>
        <v>00051016</v>
      </c>
    </row>
    <row r="814" spans="1:11" ht="71.25" x14ac:dyDescent="0.25">
      <c r="A814" s="88">
        <v>108</v>
      </c>
      <c r="B814" s="89" t="s">
        <v>2812</v>
      </c>
      <c r="C814" s="88" t="s">
        <v>0</v>
      </c>
      <c r="D814" s="89"/>
      <c r="E814" s="91">
        <v>104521</v>
      </c>
      <c r="F814" s="88">
        <v>4</v>
      </c>
      <c r="G814" s="89" t="s">
        <v>2813</v>
      </c>
      <c r="H814" s="89" t="s">
        <v>2814</v>
      </c>
      <c r="I814" s="89" t="s">
        <v>2206</v>
      </c>
      <c r="J814" s="89" t="s">
        <v>2815</v>
      </c>
      <c r="K814" s="89" t="str">
        <f>"00051324"</f>
        <v>00051324</v>
      </c>
    </row>
    <row r="815" spans="1:11" ht="57" x14ac:dyDescent="0.25">
      <c r="A815" s="88">
        <v>108</v>
      </c>
      <c r="B815" s="89" t="s">
        <v>1282</v>
      </c>
      <c r="C815" s="88" t="s">
        <v>0</v>
      </c>
      <c r="D815" s="89"/>
      <c r="E815" s="91">
        <v>91329</v>
      </c>
      <c r="F815" s="88">
        <v>4</v>
      </c>
      <c r="G815" s="89" t="s">
        <v>2759</v>
      </c>
      <c r="H815" s="89" t="s">
        <v>2760</v>
      </c>
      <c r="I815" s="89" t="s">
        <v>17</v>
      </c>
      <c r="J815" s="89" t="s">
        <v>2761</v>
      </c>
      <c r="K815" s="89" t="str">
        <f>"00049571"</f>
        <v>00049571</v>
      </c>
    </row>
    <row r="816" spans="1:11" ht="42.75" x14ac:dyDescent="0.25">
      <c r="A816" s="88">
        <v>108</v>
      </c>
      <c r="B816" s="89" t="s">
        <v>2809</v>
      </c>
      <c r="C816" s="88" t="s">
        <v>0</v>
      </c>
      <c r="D816" s="89"/>
      <c r="E816" s="91">
        <v>97042</v>
      </c>
      <c r="F816" s="88">
        <v>4</v>
      </c>
      <c r="G816" s="89" t="s">
        <v>2810</v>
      </c>
      <c r="H816" s="89" t="s">
        <v>2332</v>
      </c>
      <c r="I816" s="89" t="s">
        <v>106</v>
      </c>
      <c r="J816" s="89" t="s">
        <v>2811</v>
      </c>
      <c r="K816" s="89" t="str">
        <f>"00051381"</f>
        <v>00051381</v>
      </c>
    </row>
    <row r="817" spans="1:11" ht="42.75" x14ac:dyDescent="0.25">
      <c r="A817" s="88">
        <v>108</v>
      </c>
      <c r="B817" s="89" t="s">
        <v>2806</v>
      </c>
      <c r="C817" s="88" t="s">
        <v>0</v>
      </c>
      <c r="D817" s="89"/>
      <c r="E817" s="91">
        <v>22684</v>
      </c>
      <c r="F817" s="88">
        <v>4</v>
      </c>
      <c r="G817" s="89" t="s">
        <v>2807</v>
      </c>
      <c r="H817" s="89" t="s">
        <v>2808</v>
      </c>
      <c r="I817" s="89" t="s">
        <v>80</v>
      </c>
      <c r="J817" s="89" t="s">
        <v>80</v>
      </c>
      <c r="K817" s="89" t="str">
        <f>"00052950"</f>
        <v>00052950</v>
      </c>
    </row>
    <row r="818" spans="1:11" ht="42.75" x14ac:dyDescent="0.25">
      <c r="A818" s="88">
        <v>108</v>
      </c>
      <c r="B818" s="89" t="s">
        <v>2732</v>
      </c>
      <c r="C818" s="88" t="s">
        <v>0</v>
      </c>
      <c r="D818" s="89"/>
      <c r="E818" s="91">
        <v>31017</v>
      </c>
      <c r="F818" s="88">
        <v>4</v>
      </c>
      <c r="G818" s="89" t="s">
        <v>2816</v>
      </c>
      <c r="H818" s="89" t="s">
        <v>1405</v>
      </c>
      <c r="I818" s="89" t="s">
        <v>66</v>
      </c>
      <c r="J818" s="89" t="s">
        <v>125</v>
      </c>
      <c r="K818" s="89" t="str">
        <f>"00052751"</f>
        <v>00052751</v>
      </c>
    </row>
    <row r="819" spans="1:11" ht="71.25" x14ac:dyDescent="0.25">
      <c r="A819" s="88">
        <v>108</v>
      </c>
      <c r="B819" s="89" t="s">
        <v>2732</v>
      </c>
      <c r="C819" s="88" t="s">
        <v>0</v>
      </c>
      <c r="D819" s="89"/>
      <c r="E819" s="91">
        <v>36739</v>
      </c>
      <c r="F819" s="88">
        <v>4</v>
      </c>
      <c r="G819" s="89" t="s">
        <v>2818</v>
      </c>
      <c r="H819" s="89" t="s">
        <v>2819</v>
      </c>
      <c r="I819" s="89" t="s">
        <v>66</v>
      </c>
      <c r="J819" s="89" t="s">
        <v>2820</v>
      </c>
      <c r="K819" s="89" t="str">
        <f>"00051617"</f>
        <v>00051617</v>
      </c>
    </row>
    <row r="820" spans="1:11" ht="42.75" x14ac:dyDescent="0.25">
      <c r="A820" s="88">
        <v>108</v>
      </c>
      <c r="B820" s="89" t="s">
        <v>2717</v>
      </c>
      <c r="C820" s="88" t="s">
        <v>0</v>
      </c>
      <c r="D820" s="89"/>
      <c r="E820" s="91">
        <v>32469</v>
      </c>
      <c r="F820" s="88">
        <v>4</v>
      </c>
      <c r="G820" s="89" t="s">
        <v>2816</v>
      </c>
      <c r="H820" s="89" t="s">
        <v>1405</v>
      </c>
      <c r="I820" s="89" t="s">
        <v>66</v>
      </c>
      <c r="J820" s="89" t="s">
        <v>125</v>
      </c>
      <c r="K820" s="89" t="str">
        <f>"00052242"</f>
        <v>00052242</v>
      </c>
    </row>
    <row r="821" spans="1:11" ht="42.75" x14ac:dyDescent="0.25">
      <c r="A821" s="88">
        <v>108</v>
      </c>
      <c r="B821" s="89" t="s">
        <v>2817</v>
      </c>
      <c r="C821" s="88" t="s">
        <v>0</v>
      </c>
      <c r="D821" s="89"/>
      <c r="E821" s="91">
        <v>39782</v>
      </c>
      <c r="F821" s="88">
        <v>4</v>
      </c>
      <c r="G821" s="89" t="s">
        <v>2816</v>
      </c>
      <c r="H821" s="89" t="s">
        <v>1405</v>
      </c>
      <c r="I821" s="89" t="s">
        <v>66</v>
      </c>
      <c r="J821" s="89" t="s">
        <v>125</v>
      </c>
      <c r="K821" s="89" t="str">
        <f>"00052448"</f>
        <v>00052448</v>
      </c>
    </row>
    <row r="822" spans="1:11" ht="42.75" x14ac:dyDescent="0.25">
      <c r="A822" s="88">
        <v>108</v>
      </c>
      <c r="B822" s="89" t="s">
        <v>2740</v>
      </c>
      <c r="C822" s="88" t="s">
        <v>0</v>
      </c>
      <c r="D822" s="89"/>
      <c r="E822" s="91">
        <v>9456</v>
      </c>
      <c r="F822" s="88">
        <v>4</v>
      </c>
      <c r="G822" s="89" t="s">
        <v>2821</v>
      </c>
      <c r="H822" s="89" t="s">
        <v>2822</v>
      </c>
      <c r="I822" s="89" t="s">
        <v>66</v>
      </c>
      <c r="J822" s="89" t="s">
        <v>125</v>
      </c>
      <c r="K822" s="89" t="str">
        <f>"00052704"</f>
        <v>00052704</v>
      </c>
    </row>
    <row r="823" spans="1:11" ht="28.5" x14ac:dyDescent="0.25">
      <c r="A823" s="83">
        <v>108</v>
      </c>
      <c r="B823" s="84" t="s">
        <v>12</v>
      </c>
      <c r="C823" s="83" t="s">
        <v>0</v>
      </c>
      <c r="D823" s="29">
        <v>100000</v>
      </c>
      <c r="E823" s="103"/>
      <c r="F823" s="83">
        <v>4</v>
      </c>
      <c r="G823" s="84" t="s">
        <v>25</v>
      </c>
      <c r="H823" s="84"/>
      <c r="I823" s="84" t="s">
        <v>14</v>
      </c>
      <c r="J823" s="84"/>
      <c r="K823" s="84" t="str">
        <f>"　"</f>
        <v>　</v>
      </c>
    </row>
    <row r="824" spans="1:11" ht="42.75" x14ac:dyDescent="0.25">
      <c r="A824" s="83">
        <v>108</v>
      </c>
      <c r="B824" s="84" t="s">
        <v>12</v>
      </c>
      <c r="C824" s="83" t="s">
        <v>0</v>
      </c>
      <c r="D824" s="84"/>
      <c r="E824" s="85">
        <v>39352</v>
      </c>
      <c r="F824" s="83">
        <v>4</v>
      </c>
      <c r="G824" s="84" t="s">
        <v>5411</v>
      </c>
      <c r="H824" s="84" t="s">
        <v>5412</v>
      </c>
      <c r="I824" s="84" t="s">
        <v>113</v>
      </c>
      <c r="J824" s="84" t="s">
        <v>177</v>
      </c>
      <c r="K824" s="84" t="str">
        <f>"00052549"</f>
        <v>00052549</v>
      </c>
    </row>
    <row r="825" spans="1:11" ht="42.75" x14ac:dyDescent="0.25">
      <c r="A825" s="83">
        <v>108</v>
      </c>
      <c r="B825" s="84" t="s">
        <v>12</v>
      </c>
      <c r="C825" s="83" t="s">
        <v>0</v>
      </c>
      <c r="D825" s="84"/>
      <c r="E825" s="85">
        <v>62487</v>
      </c>
      <c r="F825" s="83">
        <v>4</v>
      </c>
      <c r="G825" s="84" t="s">
        <v>5413</v>
      </c>
      <c r="H825" s="84" t="s">
        <v>5414</v>
      </c>
      <c r="I825" s="84" t="s">
        <v>94</v>
      </c>
      <c r="J825" s="84" t="s">
        <v>2084</v>
      </c>
      <c r="K825" s="84" t="str">
        <f>"00049038"</f>
        <v>00049038</v>
      </c>
    </row>
    <row r="826" spans="1:11" ht="28.5" x14ac:dyDescent="0.25">
      <c r="A826" s="83">
        <v>108</v>
      </c>
      <c r="B826" s="84" t="s">
        <v>12</v>
      </c>
      <c r="C826" s="83" t="s">
        <v>0</v>
      </c>
      <c r="D826" s="29">
        <v>15000</v>
      </c>
      <c r="E826" s="103"/>
      <c r="F826" s="83">
        <v>4</v>
      </c>
      <c r="G826" s="84" t="s">
        <v>828</v>
      </c>
      <c r="H826" s="84"/>
      <c r="I826" s="84" t="s">
        <v>14</v>
      </c>
      <c r="J826" s="84"/>
      <c r="K826" s="84" t="str">
        <f>"　"</f>
        <v>　</v>
      </c>
    </row>
    <row r="827" spans="1:11" ht="28.5" x14ac:dyDescent="0.25">
      <c r="A827" s="83">
        <v>108</v>
      </c>
      <c r="B827" s="84" t="s">
        <v>12</v>
      </c>
      <c r="C827" s="83" t="s">
        <v>0</v>
      </c>
      <c r="D827" s="29">
        <v>15000</v>
      </c>
      <c r="E827" s="30"/>
      <c r="F827" s="83">
        <v>4</v>
      </c>
      <c r="G827" s="84" t="s">
        <v>828</v>
      </c>
      <c r="H827" s="84"/>
      <c r="I827" s="84" t="s">
        <v>14</v>
      </c>
      <c r="J827" s="84"/>
      <c r="K827" s="84" t="str">
        <f>"　"</f>
        <v>　</v>
      </c>
    </row>
    <row r="828" spans="1:11" ht="42.75" x14ac:dyDescent="0.25">
      <c r="A828" s="83">
        <v>108</v>
      </c>
      <c r="B828" s="84" t="s">
        <v>12</v>
      </c>
      <c r="C828" s="83" t="s">
        <v>0</v>
      </c>
      <c r="D828" s="84"/>
      <c r="E828" s="85">
        <v>15000</v>
      </c>
      <c r="F828" s="83">
        <v>4</v>
      </c>
      <c r="G828" s="84" t="s">
        <v>3254</v>
      </c>
      <c r="H828" s="84" t="s">
        <v>305</v>
      </c>
      <c r="I828" s="84" t="s">
        <v>66</v>
      </c>
      <c r="J828" s="84" t="s">
        <v>302</v>
      </c>
      <c r="K828" s="84" t="str">
        <f>"00047057"</f>
        <v>00047057</v>
      </c>
    </row>
    <row r="829" spans="1:11" ht="28.5" x14ac:dyDescent="0.25">
      <c r="A829" s="83">
        <v>108</v>
      </c>
      <c r="B829" s="84" t="s">
        <v>12</v>
      </c>
      <c r="C829" s="83" t="s">
        <v>0</v>
      </c>
      <c r="D829" s="29">
        <v>15000</v>
      </c>
      <c r="E829" s="30"/>
      <c r="F829" s="83">
        <v>4</v>
      </c>
      <c r="G829" s="84" t="s">
        <v>828</v>
      </c>
      <c r="H829" s="84"/>
      <c r="I829" s="84" t="s">
        <v>14</v>
      </c>
      <c r="J829" s="84"/>
      <c r="K829" s="84" t="str">
        <f>"　"</f>
        <v>　</v>
      </c>
    </row>
    <row r="830" spans="1:11" ht="42.75" x14ac:dyDescent="0.25">
      <c r="A830" s="83">
        <v>108</v>
      </c>
      <c r="B830" s="84" t="s">
        <v>12</v>
      </c>
      <c r="C830" s="83" t="s">
        <v>0</v>
      </c>
      <c r="D830" s="84"/>
      <c r="E830" s="85">
        <v>15000</v>
      </c>
      <c r="F830" s="83">
        <v>4</v>
      </c>
      <c r="G830" s="84" t="s">
        <v>3251</v>
      </c>
      <c r="H830" s="84" t="s">
        <v>309</v>
      </c>
      <c r="I830" s="84" t="s">
        <v>66</v>
      </c>
      <c r="J830" s="84" t="s">
        <v>302</v>
      </c>
      <c r="K830" s="84" t="str">
        <f>"00047495"</f>
        <v>00047495</v>
      </c>
    </row>
    <row r="831" spans="1:11" x14ac:dyDescent="0.25">
      <c r="A831" s="83"/>
      <c r="B831" s="84"/>
      <c r="C831" s="83"/>
      <c r="D831" s="84"/>
      <c r="E831" s="85"/>
      <c r="F831" s="83"/>
      <c r="G831" s="84"/>
      <c r="H831" s="84"/>
      <c r="I831" s="84"/>
      <c r="J831" s="84"/>
      <c r="K831" s="84"/>
    </row>
    <row r="832" spans="1:11" ht="28.5" x14ac:dyDescent="0.25">
      <c r="A832" s="83">
        <v>108</v>
      </c>
      <c r="B832" s="84" t="s">
        <v>12</v>
      </c>
      <c r="C832" s="83" t="s">
        <v>0</v>
      </c>
      <c r="D832" s="29">
        <v>15000</v>
      </c>
      <c r="E832" s="30"/>
      <c r="F832" s="83">
        <v>4</v>
      </c>
      <c r="G832" s="84" t="s">
        <v>828</v>
      </c>
      <c r="H832" s="84"/>
      <c r="I832" s="84" t="s">
        <v>14</v>
      </c>
      <c r="J832" s="84"/>
      <c r="K832" s="84" t="str">
        <f>"　"</f>
        <v>　</v>
      </c>
    </row>
    <row r="833" spans="1:11" ht="71.25" x14ac:dyDescent="0.25">
      <c r="A833" s="83">
        <v>108</v>
      </c>
      <c r="B833" s="84" t="s">
        <v>12</v>
      </c>
      <c r="C833" s="83" t="s">
        <v>0</v>
      </c>
      <c r="D833" s="84"/>
      <c r="E833" s="85">
        <v>15000</v>
      </c>
      <c r="F833" s="83">
        <v>4</v>
      </c>
      <c r="G833" s="84" t="s">
        <v>833</v>
      </c>
      <c r="H833" s="84" t="s">
        <v>754</v>
      </c>
      <c r="I833" s="84" t="s">
        <v>66</v>
      </c>
      <c r="J833" s="84" t="s">
        <v>315</v>
      </c>
      <c r="K833" s="84" t="str">
        <f>"00047490"</f>
        <v>00047490</v>
      </c>
    </row>
    <row r="834" spans="1:11" ht="28.5" x14ac:dyDescent="0.25">
      <c r="A834" s="83">
        <v>108</v>
      </c>
      <c r="B834" s="84" t="s">
        <v>12</v>
      </c>
      <c r="C834" s="83" t="s">
        <v>0</v>
      </c>
      <c r="D834" s="29">
        <v>15000</v>
      </c>
      <c r="E834" s="30"/>
      <c r="F834" s="83">
        <v>4</v>
      </c>
      <c r="G834" s="84" t="s">
        <v>828</v>
      </c>
      <c r="H834" s="84"/>
      <c r="I834" s="84" t="s">
        <v>14</v>
      </c>
      <c r="J834" s="84"/>
      <c r="K834" s="84" t="str">
        <f>"　"</f>
        <v>　</v>
      </c>
    </row>
    <row r="835" spans="1:11" ht="28.5" x14ac:dyDescent="0.25">
      <c r="A835" s="83">
        <v>108</v>
      </c>
      <c r="B835" s="84" t="s">
        <v>12</v>
      </c>
      <c r="C835" s="83" t="s">
        <v>0</v>
      </c>
      <c r="D835" s="85">
        <v>75400000</v>
      </c>
      <c r="E835" s="104"/>
      <c r="F835" s="83">
        <v>4</v>
      </c>
      <c r="G835" s="84" t="s">
        <v>52</v>
      </c>
      <c r="H835" s="84"/>
      <c r="I835" s="84" t="s">
        <v>53</v>
      </c>
      <c r="J835" s="84"/>
      <c r="K835" s="84" t="str">
        <f>"　"</f>
        <v>　</v>
      </c>
    </row>
    <row r="836" spans="1:11" ht="99.75" x14ac:dyDescent="0.25">
      <c r="A836" s="83">
        <v>108</v>
      </c>
      <c r="B836" s="84" t="s">
        <v>4497</v>
      </c>
      <c r="C836" s="83" t="s">
        <v>0</v>
      </c>
      <c r="D836" s="84"/>
      <c r="E836" s="85">
        <v>37515</v>
      </c>
      <c r="F836" s="83">
        <v>4</v>
      </c>
      <c r="G836" s="84" t="s">
        <v>3398</v>
      </c>
      <c r="H836" s="84" t="s">
        <v>2439</v>
      </c>
      <c r="I836" s="84" t="s">
        <v>113</v>
      </c>
      <c r="J836" s="84" t="s">
        <v>3399</v>
      </c>
      <c r="K836" s="84" t="str">
        <f>"00049336"</f>
        <v>00049336</v>
      </c>
    </row>
    <row r="837" spans="1:11" ht="99.75" x14ac:dyDescent="0.25">
      <c r="A837" s="83">
        <v>108</v>
      </c>
      <c r="B837" s="84" t="s">
        <v>656</v>
      </c>
      <c r="C837" s="83" t="s">
        <v>0</v>
      </c>
      <c r="D837" s="84"/>
      <c r="E837" s="85">
        <v>15000</v>
      </c>
      <c r="F837" s="83">
        <v>4</v>
      </c>
      <c r="G837" s="84" t="s">
        <v>658</v>
      </c>
      <c r="H837" s="84" t="s">
        <v>659</v>
      </c>
      <c r="I837" s="84" t="s">
        <v>66</v>
      </c>
      <c r="J837" s="84" t="s">
        <v>302</v>
      </c>
      <c r="K837" s="84" t="str">
        <f>"00047503"</f>
        <v>00047503</v>
      </c>
    </row>
    <row r="838" spans="1:11" ht="42.75" x14ac:dyDescent="0.25">
      <c r="A838" s="83">
        <v>108</v>
      </c>
      <c r="B838" s="84" t="s">
        <v>656</v>
      </c>
      <c r="C838" s="83" t="s">
        <v>0</v>
      </c>
      <c r="D838" s="84"/>
      <c r="E838" s="85">
        <v>50672</v>
      </c>
      <c r="F838" s="83">
        <v>4</v>
      </c>
      <c r="G838" s="84" t="s">
        <v>657</v>
      </c>
      <c r="H838" s="84" t="s">
        <v>305</v>
      </c>
      <c r="I838" s="84" t="s">
        <v>66</v>
      </c>
      <c r="J838" s="84" t="s">
        <v>302</v>
      </c>
      <c r="K838" s="84" t="str">
        <f>"00047316"</f>
        <v>00047316</v>
      </c>
    </row>
    <row r="839" spans="1:11" ht="57" x14ac:dyDescent="0.25">
      <c r="A839" s="83">
        <v>108</v>
      </c>
      <c r="B839" s="84" t="s">
        <v>678</v>
      </c>
      <c r="C839" s="83" t="s">
        <v>0</v>
      </c>
      <c r="D839" s="84"/>
      <c r="E839" s="85">
        <v>100000</v>
      </c>
      <c r="F839" s="83">
        <v>4</v>
      </c>
      <c r="G839" s="84" t="s">
        <v>679</v>
      </c>
      <c r="H839" s="84" t="s">
        <v>669</v>
      </c>
      <c r="I839" s="84" t="s">
        <v>32</v>
      </c>
      <c r="J839" s="84" t="s">
        <v>33</v>
      </c>
      <c r="K839" s="84" t="str">
        <f>"00046872"</f>
        <v>00046872</v>
      </c>
    </row>
    <row r="840" spans="1:11" ht="42.75" x14ac:dyDescent="0.25">
      <c r="A840" s="83">
        <v>108</v>
      </c>
      <c r="B840" s="84" t="s">
        <v>676</v>
      </c>
      <c r="C840" s="83" t="s">
        <v>0</v>
      </c>
      <c r="D840" s="84"/>
      <c r="E840" s="85">
        <v>51519</v>
      </c>
      <c r="F840" s="83">
        <v>4</v>
      </c>
      <c r="G840" s="84" t="s">
        <v>677</v>
      </c>
      <c r="H840" s="84" t="s">
        <v>659</v>
      </c>
      <c r="I840" s="84" t="s">
        <v>66</v>
      </c>
      <c r="J840" s="84" t="s">
        <v>302</v>
      </c>
      <c r="K840" s="84" t="s">
        <v>6634</v>
      </c>
    </row>
    <row r="841" spans="1:11" ht="71.25" x14ac:dyDescent="0.25">
      <c r="A841" s="83">
        <v>108</v>
      </c>
      <c r="B841" s="84" t="s">
        <v>670</v>
      </c>
      <c r="C841" s="83" t="s">
        <v>0</v>
      </c>
      <c r="D841" s="84"/>
      <c r="E841" s="85">
        <v>45165</v>
      </c>
      <c r="F841" s="83">
        <v>4</v>
      </c>
      <c r="G841" s="84" t="s">
        <v>671</v>
      </c>
      <c r="H841" s="84" t="s">
        <v>305</v>
      </c>
      <c r="I841" s="84" t="s">
        <v>66</v>
      </c>
      <c r="J841" s="84" t="s">
        <v>302</v>
      </c>
      <c r="K841" s="84" t="str">
        <f>"00047158"</f>
        <v>00047158</v>
      </c>
    </row>
    <row r="842" spans="1:11" ht="42.75" x14ac:dyDescent="0.25">
      <c r="A842" s="83">
        <v>108</v>
      </c>
      <c r="B842" s="84" t="s">
        <v>672</v>
      </c>
      <c r="C842" s="83" t="s">
        <v>0</v>
      </c>
      <c r="D842" s="84"/>
      <c r="E842" s="85">
        <v>35000</v>
      </c>
      <c r="F842" s="83">
        <v>4</v>
      </c>
      <c r="G842" s="84" t="s">
        <v>673</v>
      </c>
      <c r="H842" s="84" t="s">
        <v>674</v>
      </c>
      <c r="I842" s="84" t="s">
        <v>66</v>
      </c>
      <c r="J842" s="84" t="s">
        <v>302</v>
      </c>
      <c r="K842" s="84" t="str">
        <f>"00047359"</f>
        <v>00047359</v>
      </c>
    </row>
    <row r="843" spans="1:11" ht="99.75" x14ac:dyDescent="0.25">
      <c r="A843" s="83">
        <v>108</v>
      </c>
      <c r="B843" s="84" t="s">
        <v>660</v>
      </c>
      <c r="C843" s="83" t="s">
        <v>0</v>
      </c>
      <c r="D843" s="84"/>
      <c r="E843" s="85">
        <v>40000</v>
      </c>
      <c r="F843" s="83">
        <v>4</v>
      </c>
      <c r="G843" s="84" t="s">
        <v>661</v>
      </c>
      <c r="H843" s="84" t="s">
        <v>659</v>
      </c>
      <c r="I843" s="84" t="s">
        <v>66</v>
      </c>
      <c r="J843" s="84" t="s">
        <v>302</v>
      </c>
      <c r="K843" s="84" t="str">
        <f>"00047234"</f>
        <v>00047234</v>
      </c>
    </row>
    <row r="844" spans="1:11" ht="42.75" x14ac:dyDescent="0.25">
      <c r="A844" s="83">
        <v>108</v>
      </c>
      <c r="B844" s="84" t="s">
        <v>672</v>
      </c>
      <c r="C844" s="83" t="s">
        <v>0</v>
      </c>
      <c r="D844" s="84"/>
      <c r="E844" s="85">
        <v>20000</v>
      </c>
      <c r="F844" s="83">
        <v>4</v>
      </c>
      <c r="G844" s="84" t="s">
        <v>675</v>
      </c>
      <c r="H844" s="84" t="s">
        <v>301</v>
      </c>
      <c r="I844" s="84" t="s">
        <v>66</v>
      </c>
      <c r="J844" s="84" t="s">
        <v>302</v>
      </c>
      <c r="K844" s="84" t="str">
        <f>"00047352"</f>
        <v>00047352</v>
      </c>
    </row>
    <row r="845" spans="1:11" ht="128.25" x14ac:dyDescent="0.25">
      <c r="A845" s="83">
        <v>108</v>
      </c>
      <c r="B845" s="84" t="s">
        <v>2944</v>
      </c>
      <c r="C845" s="83" t="s">
        <v>0</v>
      </c>
      <c r="D845" s="84"/>
      <c r="E845" s="85">
        <v>80923</v>
      </c>
      <c r="F845" s="83">
        <v>4</v>
      </c>
      <c r="G845" s="84" t="s">
        <v>2945</v>
      </c>
      <c r="H845" s="84" t="s">
        <v>1974</v>
      </c>
      <c r="I845" s="84" t="s">
        <v>66</v>
      </c>
      <c r="J845" s="84" t="s">
        <v>315</v>
      </c>
      <c r="K845" s="84" t="str">
        <f>"00047589"</f>
        <v>00047589</v>
      </c>
    </row>
    <row r="846" spans="1:11" ht="242.25" x14ac:dyDescent="0.25">
      <c r="A846" s="83">
        <v>108</v>
      </c>
      <c r="B846" s="84" t="s">
        <v>667</v>
      </c>
      <c r="C846" s="83" t="s">
        <v>0</v>
      </c>
      <c r="D846" s="84"/>
      <c r="E846" s="30">
        <v>116526</v>
      </c>
      <c r="F846" s="83">
        <v>4</v>
      </c>
      <c r="G846" s="84" t="s">
        <v>668</v>
      </c>
      <c r="H846" s="84" t="s">
        <v>669</v>
      </c>
      <c r="I846" s="84" t="s">
        <v>32</v>
      </c>
      <c r="J846" s="84" t="s">
        <v>33</v>
      </c>
      <c r="K846" s="84" t="s">
        <v>6633</v>
      </c>
    </row>
    <row r="847" spans="1:11" ht="57" x14ac:dyDescent="0.25">
      <c r="A847" s="83">
        <v>108</v>
      </c>
      <c r="B847" s="84" t="s">
        <v>662</v>
      </c>
      <c r="C847" s="83" t="s">
        <v>0</v>
      </c>
      <c r="D847" s="84"/>
      <c r="E847" s="85">
        <v>38945</v>
      </c>
      <c r="F847" s="83">
        <v>4</v>
      </c>
      <c r="G847" s="84" t="s">
        <v>663</v>
      </c>
      <c r="H847" s="84" t="s">
        <v>664</v>
      </c>
      <c r="I847" s="84" t="s">
        <v>665</v>
      </c>
      <c r="J847" s="84" t="s">
        <v>666</v>
      </c>
      <c r="K847" s="84" t="str">
        <f>"00047320"</f>
        <v>00047320</v>
      </c>
    </row>
    <row r="848" spans="1:11" ht="42.75" x14ac:dyDescent="0.25">
      <c r="A848" s="83">
        <v>108</v>
      </c>
      <c r="B848" s="84" t="s">
        <v>2948</v>
      </c>
      <c r="C848" s="83" t="s">
        <v>0</v>
      </c>
      <c r="D848" s="84"/>
      <c r="E848" s="85">
        <v>40849</v>
      </c>
      <c r="F848" s="83">
        <v>4</v>
      </c>
      <c r="G848" s="84" t="s">
        <v>2949</v>
      </c>
      <c r="H848" s="84" t="s">
        <v>512</v>
      </c>
      <c r="I848" s="84" t="s">
        <v>66</v>
      </c>
      <c r="J848" s="84" t="s">
        <v>302</v>
      </c>
      <c r="K848" s="84" t="str">
        <f>"00047580"</f>
        <v>00047580</v>
      </c>
    </row>
    <row r="849" spans="1:11" ht="57" x14ac:dyDescent="0.25">
      <c r="A849" s="83">
        <v>108</v>
      </c>
      <c r="B849" s="84" t="s">
        <v>2930</v>
      </c>
      <c r="C849" s="83" t="s">
        <v>0</v>
      </c>
      <c r="D849" s="84"/>
      <c r="E849" s="85">
        <v>15000</v>
      </c>
      <c r="F849" s="83">
        <v>4</v>
      </c>
      <c r="G849" s="84" t="s">
        <v>2931</v>
      </c>
      <c r="H849" s="84" t="s">
        <v>674</v>
      </c>
      <c r="I849" s="84" t="s">
        <v>66</v>
      </c>
      <c r="J849" s="84" t="s">
        <v>302</v>
      </c>
      <c r="K849" s="84" t="str">
        <f>"00047255"</f>
        <v>00047255</v>
      </c>
    </row>
    <row r="850" spans="1:11" ht="42.75" x14ac:dyDescent="0.25">
      <c r="A850" s="83">
        <v>108</v>
      </c>
      <c r="B850" s="84" t="s">
        <v>2920</v>
      </c>
      <c r="C850" s="83" t="s">
        <v>0</v>
      </c>
      <c r="D850" s="84"/>
      <c r="E850" s="85">
        <v>125435</v>
      </c>
      <c r="F850" s="83">
        <v>4</v>
      </c>
      <c r="G850" s="84" t="s">
        <v>2932</v>
      </c>
      <c r="H850" s="84" t="s">
        <v>2922</v>
      </c>
      <c r="I850" s="84" t="s">
        <v>32</v>
      </c>
      <c r="J850" s="84" t="s">
        <v>2313</v>
      </c>
      <c r="K850" s="84" t="str">
        <f>"00046602"</f>
        <v>00046602</v>
      </c>
    </row>
    <row r="851" spans="1:11" ht="42.75" x14ac:dyDescent="0.25">
      <c r="A851" s="83">
        <v>108</v>
      </c>
      <c r="B851" s="84" t="s">
        <v>2916</v>
      </c>
      <c r="C851" s="83" t="s">
        <v>0</v>
      </c>
      <c r="D851" s="84"/>
      <c r="E851" s="85">
        <v>59745</v>
      </c>
      <c r="F851" s="83">
        <v>4</v>
      </c>
      <c r="G851" s="84" t="s">
        <v>2954</v>
      </c>
      <c r="H851" s="84" t="s">
        <v>2955</v>
      </c>
      <c r="I851" s="84" t="s">
        <v>66</v>
      </c>
      <c r="J851" s="84" t="s">
        <v>302</v>
      </c>
      <c r="K851" s="84" t="s">
        <v>6632</v>
      </c>
    </row>
    <row r="852" spans="1:11" ht="85.5" x14ac:dyDescent="0.25">
      <c r="A852" s="83">
        <v>108</v>
      </c>
      <c r="B852" s="84" t="s">
        <v>2950</v>
      </c>
      <c r="C852" s="83" t="s">
        <v>0</v>
      </c>
      <c r="D852" s="84"/>
      <c r="E852" s="85">
        <v>101200</v>
      </c>
      <c r="F852" s="83">
        <v>4</v>
      </c>
      <c r="G852" s="84" t="s">
        <v>2951</v>
      </c>
      <c r="H852" s="84" t="s">
        <v>2952</v>
      </c>
      <c r="I852" s="84" t="s">
        <v>32</v>
      </c>
      <c r="J852" s="84" t="s">
        <v>2953</v>
      </c>
      <c r="K852" s="84" t="str">
        <f>"00048463"</f>
        <v>00048463</v>
      </c>
    </row>
    <row r="853" spans="1:11" ht="71.25" x14ac:dyDescent="0.25">
      <c r="A853" s="83">
        <v>108</v>
      </c>
      <c r="B853" s="84" t="s">
        <v>660</v>
      </c>
      <c r="C853" s="83" t="s">
        <v>0</v>
      </c>
      <c r="D853" s="84"/>
      <c r="E853" s="85">
        <v>100000</v>
      </c>
      <c r="F853" s="83">
        <v>4</v>
      </c>
      <c r="G853" s="84" t="s">
        <v>2942</v>
      </c>
      <c r="H853" s="84" t="s">
        <v>1859</v>
      </c>
      <c r="I853" s="84" t="s">
        <v>17</v>
      </c>
      <c r="J853" s="84" t="s">
        <v>110</v>
      </c>
      <c r="K853" s="84" t="str">
        <f>"00049782"</f>
        <v>00049782</v>
      </c>
    </row>
    <row r="854" spans="1:11" ht="128.25" x14ac:dyDescent="0.25">
      <c r="A854" s="83">
        <v>108</v>
      </c>
      <c r="B854" s="84" t="s">
        <v>2927</v>
      </c>
      <c r="C854" s="83" t="s">
        <v>0</v>
      </c>
      <c r="D854" s="84"/>
      <c r="E854" s="85">
        <v>2500</v>
      </c>
      <c r="F854" s="83">
        <v>4</v>
      </c>
      <c r="G854" s="84" t="s">
        <v>2928</v>
      </c>
      <c r="H854" s="84" t="s">
        <v>2929</v>
      </c>
      <c r="I854" s="84" t="s">
        <v>32</v>
      </c>
      <c r="J854" s="84" t="s">
        <v>708</v>
      </c>
      <c r="K854" s="84" t="str">
        <f>"00050132"</f>
        <v>00050132</v>
      </c>
    </row>
    <row r="855" spans="1:11" ht="114" x14ac:dyDescent="0.25">
      <c r="A855" s="83">
        <v>108</v>
      </c>
      <c r="B855" s="84" t="s">
        <v>662</v>
      </c>
      <c r="C855" s="83" t="s">
        <v>0</v>
      </c>
      <c r="D855" s="84"/>
      <c r="E855" s="85">
        <v>88999</v>
      </c>
      <c r="F855" s="83">
        <v>4</v>
      </c>
      <c r="G855" s="84" t="s">
        <v>2946</v>
      </c>
      <c r="H855" s="84" t="s">
        <v>2947</v>
      </c>
      <c r="I855" s="84" t="s">
        <v>665</v>
      </c>
      <c r="J855" s="84" t="s">
        <v>666</v>
      </c>
      <c r="K855" s="84" t="s">
        <v>6631</v>
      </c>
    </row>
    <row r="856" spans="1:11" ht="42.75" x14ac:dyDescent="0.25">
      <c r="A856" s="83">
        <v>108</v>
      </c>
      <c r="B856" s="84" t="s">
        <v>660</v>
      </c>
      <c r="C856" s="83" t="s">
        <v>0</v>
      </c>
      <c r="D856" s="84"/>
      <c r="E856" s="85">
        <v>115635</v>
      </c>
      <c r="F856" s="83">
        <v>4</v>
      </c>
      <c r="G856" s="84" t="s">
        <v>2943</v>
      </c>
      <c r="H856" s="84" t="s">
        <v>1859</v>
      </c>
      <c r="I856" s="84" t="s">
        <v>17</v>
      </c>
      <c r="J856" s="84" t="s">
        <v>110</v>
      </c>
      <c r="K856" s="84" t="str">
        <f>"00049797"</f>
        <v>00049797</v>
      </c>
    </row>
    <row r="857" spans="1:11" ht="128.25" x14ac:dyDescent="0.25">
      <c r="A857" s="83">
        <v>108</v>
      </c>
      <c r="B857" s="84" t="s">
        <v>2920</v>
      </c>
      <c r="C857" s="83" t="s">
        <v>0</v>
      </c>
      <c r="D857" s="84"/>
      <c r="E857" s="85">
        <v>40000</v>
      </c>
      <c r="F857" s="83">
        <v>4</v>
      </c>
      <c r="G857" s="84" t="s">
        <v>2921</v>
      </c>
      <c r="H857" s="84" t="s">
        <v>2922</v>
      </c>
      <c r="I857" s="84" t="s">
        <v>32</v>
      </c>
      <c r="J857" s="84" t="s">
        <v>2313</v>
      </c>
      <c r="K857" s="84" t="str">
        <f>"00046527"</f>
        <v>00046527</v>
      </c>
    </row>
    <row r="858" spans="1:11" ht="57" x14ac:dyDescent="0.25">
      <c r="A858" s="83">
        <v>108</v>
      </c>
      <c r="B858" s="84" t="s">
        <v>2935</v>
      </c>
      <c r="C858" s="83" t="s">
        <v>0</v>
      </c>
      <c r="D858" s="84"/>
      <c r="E858" s="85">
        <v>140784</v>
      </c>
      <c r="F858" s="83">
        <v>4</v>
      </c>
      <c r="G858" s="84" t="s">
        <v>2936</v>
      </c>
      <c r="H858" s="84" t="s">
        <v>2027</v>
      </c>
      <c r="I858" s="84" t="s">
        <v>32</v>
      </c>
      <c r="J858" s="84" t="s">
        <v>708</v>
      </c>
      <c r="K858" s="84" t="str">
        <f>"00050650"</f>
        <v>00050650</v>
      </c>
    </row>
    <row r="859" spans="1:11" ht="57" x14ac:dyDescent="0.25">
      <c r="A859" s="83">
        <v>108</v>
      </c>
      <c r="B859" s="84" t="s">
        <v>2940</v>
      </c>
      <c r="C859" s="83" t="s">
        <v>0</v>
      </c>
      <c r="D859" s="84"/>
      <c r="E859" s="85">
        <v>140825</v>
      </c>
      <c r="F859" s="83">
        <v>4</v>
      </c>
      <c r="G859" s="84" t="s">
        <v>2941</v>
      </c>
      <c r="H859" s="84" t="s">
        <v>2520</v>
      </c>
      <c r="I859" s="84" t="s">
        <v>32</v>
      </c>
      <c r="J859" s="84" t="s">
        <v>708</v>
      </c>
      <c r="K859" s="84" t="s">
        <v>6630</v>
      </c>
    </row>
    <row r="860" spans="1:11" ht="99.75" x14ac:dyDescent="0.25">
      <c r="A860" s="83">
        <v>108</v>
      </c>
      <c r="B860" s="84" t="s">
        <v>2937</v>
      </c>
      <c r="C860" s="83" t="s">
        <v>0</v>
      </c>
      <c r="D860" s="84"/>
      <c r="E860" s="85">
        <v>80000</v>
      </c>
      <c r="F860" s="83">
        <v>4</v>
      </c>
      <c r="G860" s="84" t="s">
        <v>2938</v>
      </c>
      <c r="H860" s="84" t="s">
        <v>2939</v>
      </c>
      <c r="I860" s="84" t="s">
        <v>2231</v>
      </c>
      <c r="J860" s="84" t="s">
        <v>2376</v>
      </c>
      <c r="K860" s="84" t="str">
        <f>"00047807"</f>
        <v>00047807</v>
      </c>
    </row>
    <row r="861" spans="1:11" ht="128.25" x14ac:dyDescent="0.25">
      <c r="A861" s="83">
        <v>108</v>
      </c>
      <c r="B861" s="84" t="s">
        <v>2927</v>
      </c>
      <c r="C861" s="83" t="s">
        <v>0</v>
      </c>
      <c r="D861" s="84"/>
      <c r="E861" s="85">
        <v>40000</v>
      </c>
      <c r="F861" s="83">
        <v>4</v>
      </c>
      <c r="G861" s="84" t="s">
        <v>2928</v>
      </c>
      <c r="H861" s="84" t="s">
        <v>2929</v>
      </c>
      <c r="I861" s="84" t="s">
        <v>32</v>
      </c>
      <c r="J861" s="84" t="s">
        <v>708</v>
      </c>
      <c r="K861" s="84" t="str">
        <f>"00050131"</f>
        <v>00050131</v>
      </c>
    </row>
    <row r="862" spans="1:11" ht="142.5" x14ac:dyDescent="0.25">
      <c r="A862" s="83">
        <v>108</v>
      </c>
      <c r="B862" s="84" t="s">
        <v>2930</v>
      </c>
      <c r="C862" s="83" t="s">
        <v>0</v>
      </c>
      <c r="D862" s="84"/>
      <c r="E862" s="85">
        <v>69607</v>
      </c>
      <c r="F862" s="83">
        <v>4</v>
      </c>
      <c r="G862" s="84" t="s">
        <v>2933</v>
      </c>
      <c r="H862" s="84" t="s">
        <v>2934</v>
      </c>
      <c r="I862" s="84" t="s">
        <v>32</v>
      </c>
      <c r="J862" s="84" t="s">
        <v>118</v>
      </c>
      <c r="K862" s="84" t="str">
        <f>"00049796"</f>
        <v>00049796</v>
      </c>
    </row>
    <row r="863" spans="1:11" ht="57" x14ac:dyDescent="0.25">
      <c r="A863" s="83">
        <v>108</v>
      </c>
      <c r="B863" s="84" t="s">
        <v>2907</v>
      </c>
      <c r="C863" s="83" t="s">
        <v>0</v>
      </c>
      <c r="D863" s="84"/>
      <c r="E863" s="85">
        <v>21029</v>
      </c>
      <c r="F863" s="83">
        <v>4</v>
      </c>
      <c r="G863" s="84" t="s">
        <v>2908</v>
      </c>
      <c r="H863" s="84" t="s">
        <v>2494</v>
      </c>
      <c r="I863" s="84" t="s">
        <v>94</v>
      </c>
      <c r="J863" s="84" t="s">
        <v>2084</v>
      </c>
      <c r="K863" s="84" t="str">
        <f>"00052746"</f>
        <v>00052746</v>
      </c>
    </row>
    <row r="864" spans="1:11" ht="57" x14ac:dyDescent="0.25">
      <c r="A864" s="83">
        <v>108</v>
      </c>
      <c r="B864" s="84" t="s">
        <v>2916</v>
      </c>
      <c r="C864" s="83" t="s">
        <v>0</v>
      </c>
      <c r="D864" s="84"/>
      <c r="E864" s="85">
        <v>21292</v>
      </c>
      <c r="F864" s="83">
        <v>4</v>
      </c>
      <c r="G864" s="84" t="s">
        <v>2917</v>
      </c>
      <c r="H864" s="84" t="s">
        <v>2918</v>
      </c>
      <c r="I864" s="84" t="s">
        <v>156</v>
      </c>
      <c r="J864" s="84" t="s">
        <v>2919</v>
      </c>
      <c r="K864" s="84" t="s">
        <v>6629</v>
      </c>
    </row>
    <row r="865" spans="1:11" ht="71.25" x14ac:dyDescent="0.25">
      <c r="A865" s="83">
        <v>108</v>
      </c>
      <c r="B865" s="84" t="s">
        <v>2916</v>
      </c>
      <c r="C865" s="83" t="s">
        <v>0</v>
      </c>
      <c r="D865" s="84"/>
      <c r="E865" s="85">
        <v>72143</v>
      </c>
      <c r="F865" s="83">
        <v>4</v>
      </c>
      <c r="G865" s="84" t="s">
        <v>2923</v>
      </c>
      <c r="H865" s="84" t="s">
        <v>2924</v>
      </c>
      <c r="I865" s="84" t="s">
        <v>2925</v>
      </c>
      <c r="J865" s="84" t="s">
        <v>2926</v>
      </c>
      <c r="K865" s="84" t="s">
        <v>6628</v>
      </c>
    </row>
    <row r="866" spans="1:11" ht="199.5" x14ac:dyDescent="0.25">
      <c r="A866" s="83">
        <v>108</v>
      </c>
      <c r="B866" s="84" t="s">
        <v>2916</v>
      </c>
      <c r="C866" s="83" t="s">
        <v>0</v>
      </c>
      <c r="D866" s="84"/>
      <c r="E866" s="85">
        <v>68854</v>
      </c>
      <c r="F866" s="83">
        <v>4</v>
      </c>
      <c r="G866" s="84" t="s">
        <v>1152</v>
      </c>
      <c r="H866" s="84" t="s">
        <v>1153</v>
      </c>
      <c r="I866" s="84" t="s">
        <v>1154</v>
      </c>
      <c r="J866" s="84" t="s">
        <v>1155</v>
      </c>
      <c r="K866" s="31" t="s">
        <v>5904</v>
      </c>
    </row>
    <row r="867" spans="1:11" ht="242.25" x14ac:dyDescent="0.25">
      <c r="A867" s="83">
        <v>108</v>
      </c>
      <c r="B867" s="84" t="s">
        <v>2916</v>
      </c>
      <c r="C867" s="83" t="s">
        <v>0</v>
      </c>
      <c r="D867" s="84"/>
      <c r="E867" s="85">
        <v>122300</v>
      </c>
      <c r="F867" s="83">
        <v>4</v>
      </c>
      <c r="G867" s="84" t="s">
        <v>3775</v>
      </c>
      <c r="H867" s="84" t="s">
        <v>3776</v>
      </c>
      <c r="I867" s="84" t="s">
        <v>32</v>
      </c>
      <c r="J867" s="84" t="s">
        <v>3777</v>
      </c>
      <c r="K867" s="84" t="s">
        <v>3778</v>
      </c>
    </row>
    <row r="868" spans="1:11" ht="114" x14ac:dyDescent="0.25">
      <c r="A868" s="83">
        <v>108</v>
      </c>
      <c r="B868" s="84" t="s">
        <v>2927</v>
      </c>
      <c r="C868" s="83" t="s">
        <v>0</v>
      </c>
      <c r="D868" s="84"/>
      <c r="E868" s="85">
        <v>128807</v>
      </c>
      <c r="F868" s="83">
        <v>4</v>
      </c>
      <c r="G868" s="84" t="s">
        <v>2959</v>
      </c>
      <c r="H868" s="84" t="s">
        <v>2036</v>
      </c>
      <c r="I868" s="84" t="s">
        <v>32</v>
      </c>
      <c r="J868" s="84" t="s">
        <v>1991</v>
      </c>
      <c r="K868" s="84" t="str">
        <f>"00050451"</f>
        <v>00050451</v>
      </c>
    </row>
    <row r="869" spans="1:11" ht="142.5" x14ac:dyDescent="0.25">
      <c r="A869" s="83">
        <v>108</v>
      </c>
      <c r="B869" s="84" t="s">
        <v>2912</v>
      </c>
      <c r="C869" s="83" t="s">
        <v>0</v>
      </c>
      <c r="D869" s="84"/>
      <c r="E869" s="85">
        <v>100000</v>
      </c>
      <c r="F869" s="83">
        <v>4</v>
      </c>
      <c r="G869" s="84" t="s">
        <v>2913</v>
      </c>
      <c r="H869" s="84" t="s">
        <v>2914</v>
      </c>
      <c r="I869" s="84" t="s">
        <v>32</v>
      </c>
      <c r="J869" s="84" t="s">
        <v>2915</v>
      </c>
      <c r="K869" s="84" t="s">
        <v>6375</v>
      </c>
    </row>
    <row r="870" spans="1:11" ht="57" x14ac:dyDescent="0.25">
      <c r="A870" s="83">
        <v>108</v>
      </c>
      <c r="B870" s="84" t="s">
        <v>2909</v>
      </c>
      <c r="C870" s="83" t="s">
        <v>0</v>
      </c>
      <c r="D870" s="84"/>
      <c r="E870" s="85">
        <v>90833</v>
      </c>
      <c r="F870" s="83">
        <v>4</v>
      </c>
      <c r="G870" s="84" t="s">
        <v>2910</v>
      </c>
      <c r="H870" s="84" t="s">
        <v>2911</v>
      </c>
      <c r="I870" s="84" t="s">
        <v>32</v>
      </c>
      <c r="J870" s="84" t="s">
        <v>262</v>
      </c>
      <c r="K870" s="84" t="str">
        <f>"00052295"</f>
        <v>00052295</v>
      </c>
    </row>
    <row r="871" spans="1:11" ht="57" x14ac:dyDescent="0.25">
      <c r="A871" s="83">
        <v>108</v>
      </c>
      <c r="B871" s="84" t="s">
        <v>2956</v>
      </c>
      <c r="C871" s="83" t="s">
        <v>0</v>
      </c>
      <c r="D871" s="84"/>
      <c r="E871" s="85">
        <v>94000</v>
      </c>
      <c r="F871" s="83">
        <v>4</v>
      </c>
      <c r="G871" s="84" t="s">
        <v>2957</v>
      </c>
      <c r="H871" s="84" t="s">
        <v>2958</v>
      </c>
      <c r="I871" s="84" t="s">
        <v>209</v>
      </c>
      <c r="J871" s="84" t="s">
        <v>2861</v>
      </c>
      <c r="K871" s="84" t="str">
        <f>"00049039"</f>
        <v>00049039</v>
      </c>
    </row>
    <row r="872" spans="1:11" ht="42.75" x14ac:dyDescent="0.25">
      <c r="A872" s="83">
        <v>108</v>
      </c>
      <c r="B872" s="84" t="s">
        <v>2968</v>
      </c>
      <c r="C872" s="83" t="s">
        <v>0</v>
      </c>
      <c r="D872" s="84"/>
      <c r="E872" s="85">
        <v>20000</v>
      </c>
      <c r="F872" s="83">
        <v>4</v>
      </c>
      <c r="G872" s="84" t="s">
        <v>2969</v>
      </c>
      <c r="H872" s="84" t="s">
        <v>2970</v>
      </c>
      <c r="I872" s="84" t="s">
        <v>94</v>
      </c>
      <c r="J872" s="84" t="s">
        <v>355</v>
      </c>
      <c r="K872" s="84" t="str">
        <f>"00048668"</f>
        <v>00048668</v>
      </c>
    </row>
    <row r="873" spans="1:11" ht="57" x14ac:dyDescent="0.25">
      <c r="A873" s="83">
        <v>108</v>
      </c>
      <c r="B873" s="84" t="s">
        <v>2965</v>
      </c>
      <c r="C873" s="83" t="s">
        <v>0</v>
      </c>
      <c r="D873" s="84"/>
      <c r="E873" s="85">
        <v>12000</v>
      </c>
      <c r="F873" s="83">
        <v>4</v>
      </c>
      <c r="G873" s="84" t="s">
        <v>2966</v>
      </c>
      <c r="H873" s="84" t="s">
        <v>2967</v>
      </c>
      <c r="I873" s="84" t="s">
        <v>32</v>
      </c>
      <c r="J873" s="84" t="s">
        <v>44</v>
      </c>
      <c r="K873" s="84" t="s">
        <v>6376</v>
      </c>
    </row>
    <row r="874" spans="1:11" ht="42.75" x14ac:dyDescent="0.25">
      <c r="A874" s="83">
        <v>108</v>
      </c>
      <c r="B874" s="84" t="s">
        <v>2960</v>
      </c>
      <c r="C874" s="83" t="s">
        <v>0</v>
      </c>
      <c r="D874" s="84"/>
      <c r="E874" s="85">
        <v>16556</v>
      </c>
      <c r="F874" s="83">
        <v>4</v>
      </c>
      <c r="G874" s="84" t="s">
        <v>2960</v>
      </c>
      <c r="H874" s="84" t="s">
        <v>2961</v>
      </c>
      <c r="I874" s="84" t="s">
        <v>66</v>
      </c>
      <c r="J874" s="84" t="s">
        <v>302</v>
      </c>
      <c r="K874" s="84" t="str">
        <f>"00047534"</f>
        <v>00047534</v>
      </c>
    </row>
    <row r="875" spans="1:11" ht="42.75" x14ac:dyDescent="0.25">
      <c r="A875" s="83">
        <v>108</v>
      </c>
      <c r="B875" s="84" t="s">
        <v>2962</v>
      </c>
      <c r="C875" s="83" t="s">
        <v>0</v>
      </c>
      <c r="D875" s="84"/>
      <c r="E875" s="85">
        <v>13700</v>
      </c>
      <c r="F875" s="83">
        <v>4</v>
      </c>
      <c r="G875" s="84" t="s">
        <v>2963</v>
      </c>
      <c r="H875" s="84" t="s">
        <v>2964</v>
      </c>
      <c r="I875" s="84" t="s">
        <v>66</v>
      </c>
      <c r="J875" s="84" t="s">
        <v>302</v>
      </c>
      <c r="K875" s="84" t="str">
        <f>"00047536"</f>
        <v>00047536</v>
      </c>
    </row>
    <row r="876" spans="1:11" ht="42.75" x14ac:dyDescent="0.25">
      <c r="A876" s="83">
        <v>108</v>
      </c>
      <c r="B876" s="84" t="s">
        <v>2960</v>
      </c>
      <c r="C876" s="83" t="s">
        <v>0</v>
      </c>
      <c r="D876" s="84"/>
      <c r="E876" s="85">
        <v>13733</v>
      </c>
      <c r="F876" s="83">
        <v>4</v>
      </c>
      <c r="G876" s="84" t="s">
        <v>2960</v>
      </c>
      <c r="H876" s="84" t="s">
        <v>329</v>
      </c>
      <c r="I876" s="84" t="s">
        <v>66</v>
      </c>
      <c r="J876" s="84" t="s">
        <v>302</v>
      </c>
      <c r="K876" s="84" t="str">
        <f>"00047535"</f>
        <v>00047535</v>
      </c>
    </row>
    <row r="877" spans="1:11" ht="57" x14ac:dyDescent="0.25">
      <c r="A877" s="83">
        <v>108</v>
      </c>
      <c r="B877" s="84" t="s">
        <v>4229</v>
      </c>
      <c r="C877" s="83" t="s">
        <v>0</v>
      </c>
      <c r="D877" s="84"/>
      <c r="E877" s="85">
        <v>35000</v>
      </c>
      <c r="F877" s="83">
        <v>4</v>
      </c>
      <c r="G877" s="84" t="s">
        <v>4306</v>
      </c>
      <c r="H877" s="84" t="s">
        <v>4307</v>
      </c>
      <c r="I877" s="84" t="s">
        <v>66</v>
      </c>
      <c r="J877" s="84" t="s">
        <v>385</v>
      </c>
      <c r="K877" s="84" t="str">
        <f>"00047250"</f>
        <v>00047250</v>
      </c>
    </row>
    <row r="878" spans="1:11" ht="57" x14ac:dyDescent="0.25">
      <c r="A878" s="83">
        <v>108</v>
      </c>
      <c r="B878" s="84" t="s">
        <v>4536</v>
      </c>
      <c r="C878" s="83" t="s">
        <v>0</v>
      </c>
      <c r="D878" s="84"/>
      <c r="E878" s="85">
        <v>5988</v>
      </c>
      <c r="F878" s="83">
        <v>4</v>
      </c>
      <c r="G878" s="84" t="s">
        <v>4537</v>
      </c>
      <c r="H878" s="84" t="s">
        <v>2958</v>
      </c>
      <c r="I878" s="84" t="s">
        <v>209</v>
      </c>
      <c r="J878" s="84" t="s">
        <v>2861</v>
      </c>
      <c r="K878" s="84" t="str">
        <f>"00049039"</f>
        <v>00049039</v>
      </c>
    </row>
    <row r="879" spans="1:11" ht="57" x14ac:dyDescent="0.25">
      <c r="A879" s="83">
        <v>108</v>
      </c>
      <c r="B879" s="84" t="s">
        <v>5415</v>
      </c>
      <c r="C879" s="83" t="s">
        <v>0</v>
      </c>
      <c r="D879" s="84"/>
      <c r="E879" s="85">
        <v>36306</v>
      </c>
      <c r="F879" s="83">
        <v>4</v>
      </c>
      <c r="G879" s="84" t="s">
        <v>5415</v>
      </c>
      <c r="H879" s="84" t="s">
        <v>5416</v>
      </c>
      <c r="I879" s="84" t="s">
        <v>32</v>
      </c>
      <c r="J879" s="84" t="s">
        <v>262</v>
      </c>
      <c r="K879" s="84" t="str">
        <f>"00048545"</f>
        <v>00048545</v>
      </c>
    </row>
    <row r="880" spans="1:11" ht="85.5" x14ac:dyDescent="0.25">
      <c r="A880" s="83">
        <v>108</v>
      </c>
      <c r="B880" s="84" t="s">
        <v>4405</v>
      </c>
      <c r="C880" s="83" t="s">
        <v>0</v>
      </c>
      <c r="D880" s="84"/>
      <c r="E880" s="85">
        <v>36000</v>
      </c>
      <c r="F880" s="83">
        <v>4</v>
      </c>
      <c r="G880" s="84" t="s">
        <v>4406</v>
      </c>
      <c r="H880" s="84" t="s">
        <v>2550</v>
      </c>
      <c r="I880" s="84" t="s">
        <v>237</v>
      </c>
      <c r="J880" s="84" t="s">
        <v>338</v>
      </c>
      <c r="K880" s="84" t="str">
        <f>"00050504"</f>
        <v>00050504</v>
      </c>
    </row>
    <row r="881" spans="1:11" ht="42.75" x14ac:dyDescent="0.25">
      <c r="A881" s="83">
        <v>108</v>
      </c>
      <c r="B881" s="84" t="s">
        <v>5417</v>
      </c>
      <c r="C881" s="83" t="s">
        <v>0</v>
      </c>
      <c r="D881" s="84"/>
      <c r="E881" s="85">
        <v>5011</v>
      </c>
      <c r="F881" s="83">
        <v>4</v>
      </c>
      <c r="G881" s="84" t="s">
        <v>5417</v>
      </c>
      <c r="H881" s="84" t="s">
        <v>5418</v>
      </c>
      <c r="I881" s="84" t="s">
        <v>66</v>
      </c>
      <c r="J881" s="84" t="s">
        <v>5419</v>
      </c>
      <c r="K881" s="84" t="str">
        <f>"00051401"</f>
        <v>00051401</v>
      </c>
    </row>
    <row r="882" spans="1:11" ht="42.75" x14ac:dyDescent="0.25">
      <c r="A882" s="83">
        <v>108</v>
      </c>
      <c r="B882" s="84" t="s">
        <v>5420</v>
      </c>
      <c r="C882" s="83" t="s">
        <v>0</v>
      </c>
      <c r="D882" s="84"/>
      <c r="E882" s="85">
        <v>8221</v>
      </c>
      <c r="F882" s="83">
        <v>4</v>
      </c>
      <c r="G882" s="84" t="s">
        <v>5411</v>
      </c>
      <c r="H882" s="84" t="s">
        <v>5412</v>
      </c>
      <c r="I882" s="84" t="s">
        <v>113</v>
      </c>
      <c r="J882" s="84" t="s">
        <v>177</v>
      </c>
      <c r="K882" s="84" t="str">
        <f>"00052549"</f>
        <v>00052549</v>
      </c>
    </row>
    <row r="883" spans="1:11" ht="28.5" x14ac:dyDescent="0.25">
      <c r="A883" s="88">
        <v>108</v>
      </c>
      <c r="B883" s="89" t="s">
        <v>12</v>
      </c>
      <c r="C883" s="88" t="s">
        <v>0</v>
      </c>
      <c r="D883" s="91">
        <v>75400000</v>
      </c>
      <c r="E883" s="32"/>
      <c r="F883" s="88">
        <v>4</v>
      </c>
      <c r="G883" s="89" t="s">
        <v>52</v>
      </c>
      <c r="H883" s="89"/>
      <c r="I883" s="89" t="s">
        <v>53</v>
      </c>
      <c r="J883" s="89"/>
      <c r="K883" s="89" t="str">
        <f>"　"</f>
        <v>　</v>
      </c>
    </row>
    <row r="884" spans="1:11" ht="85.5" x14ac:dyDescent="0.25">
      <c r="A884" s="88">
        <v>108</v>
      </c>
      <c r="B884" s="89" t="s">
        <v>402</v>
      </c>
      <c r="C884" s="88" t="s">
        <v>0</v>
      </c>
      <c r="D884" s="89"/>
      <c r="E884" s="91">
        <v>81967</v>
      </c>
      <c r="F884" s="88">
        <v>4</v>
      </c>
      <c r="G884" s="89" t="s">
        <v>403</v>
      </c>
      <c r="H884" s="89" t="s">
        <v>404</v>
      </c>
      <c r="I884" s="89" t="s">
        <v>185</v>
      </c>
      <c r="J884" s="89" t="s">
        <v>405</v>
      </c>
      <c r="K884" s="89" t="str">
        <f>"00046854"</f>
        <v>00046854</v>
      </c>
    </row>
    <row r="885" spans="1:11" ht="85.5" x14ac:dyDescent="0.25">
      <c r="A885" s="88">
        <v>108</v>
      </c>
      <c r="B885" s="89" t="s">
        <v>402</v>
      </c>
      <c r="C885" s="88" t="s">
        <v>0</v>
      </c>
      <c r="D885" s="89"/>
      <c r="E885" s="91">
        <v>81397</v>
      </c>
      <c r="F885" s="88">
        <v>4</v>
      </c>
      <c r="G885" s="89" t="s">
        <v>403</v>
      </c>
      <c r="H885" s="89" t="s">
        <v>406</v>
      </c>
      <c r="I885" s="89" t="s">
        <v>185</v>
      </c>
      <c r="J885" s="89" t="s">
        <v>405</v>
      </c>
      <c r="K885" s="89" t="str">
        <f>"00046858"</f>
        <v>00046858</v>
      </c>
    </row>
    <row r="886" spans="1:11" ht="71.25" x14ac:dyDescent="0.25">
      <c r="A886" s="88">
        <v>108</v>
      </c>
      <c r="B886" s="89" t="s">
        <v>394</v>
      </c>
      <c r="C886" s="88" t="s">
        <v>0</v>
      </c>
      <c r="D886" s="89"/>
      <c r="E886" s="91">
        <v>75139</v>
      </c>
      <c r="F886" s="88">
        <v>4</v>
      </c>
      <c r="G886" s="89" t="s">
        <v>395</v>
      </c>
      <c r="H886" s="89" t="s">
        <v>396</v>
      </c>
      <c r="I886" s="89" t="s">
        <v>66</v>
      </c>
      <c r="J886" s="89" t="s">
        <v>397</v>
      </c>
      <c r="K886" s="89" t="str">
        <f>"00048096"</f>
        <v>00048096</v>
      </c>
    </row>
    <row r="887" spans="1:11" ht="71.25" x14ac:dyDescent="0.25">
      <c r="A887" s="88">
        <v>108</v>
      </c>
      <c r="B887" s="89" t="s">
        <v>394</v>
      </c>
      <c r="C887" s="88" t="s">
        <v>0</v>
      </c>
      <c r="D887" s="89"/>
      <c r="E887" s="91">
        <v>73735</v>
      </c>
      <c r="F887" s="88">
        <v>4</v>
      </c>
      <c r="G887" s="89" t="s">
        <v>395</v>
      </c>
      <c r="H887" s="89" t="s">
        <v>396</v>
      </c>
      <c r="I887" s="89" t="s">
        <v>66</v>
      </c>
      <c r="J887" s="89" t="s">
        <v>397</v>
      </c>
      <c r="K887" s="89" t="str">
        <f>"00048097"</f>
        <v>00048097</v>
      </c>
    </row>
    <row r="888" spans="1:11" ht="71.25" x14ac:dyDescent="0.25">
      <c r="A888" s="88">
        <v>108</v>
      </c>
      <c r="B888" s="89" t="s">
        <v>394</v>
      </c>
      <c r="C888" s="88" t="s">
        <v>0</v>
      </c>
      <c r="D888" s="89"/>
      <c r="E888" s="91">
        <v>74145</v>
      </c>
      <c r="F888" s="88">
        <v>4</v>
      </c>
      <c r="G888" s="89" t="s">
        <v>395</v>
      </c>
      <c r="H888" s="89" t="s">
        <v>396</v>
      </c>
      <c r="I888" s="89" t="s">
        <v>66</v>
      </c>
      <c r="J888" s="89" t="s">
        <v>397</v>
      </c>
      <c r="K888" s="89" t="str">
        <f>"00048098"</f>
        <v>00048098</v>
      </c>
    </row>
    <row r="889" spans="1:11" ht="71.25" x14ac:dyDescent="0.25">
      <c r="A889" s="88">
        <v>108</v>
      </c>
      <c r="B889" s="89" t="s">
        <v>394</v>
      </c>
      <c r="C889" s="88" t="s">
        <v>0</v>
      </c>
      <c r="D889" s="89"/>
      <c r="E889" s="91">
        <v>73196</v>
      </c>
      <c r="F889" s="88">
        <v>4</v>
      </c>
      <c r="G889" s="89" t="s">
        <v>395</v>
      </c>
      <c r="H889" s="89" t="s">
        <v>398</v>
      </c>
      <c r="I889" s="89" t="s">
        <v>66</v>
      </c>
      <c r="J889" s="89" t="s">
        <v>397</v>
      </c>
      <c r="K889" s="89" t="str">
        <f>"00048099"</f>
        <v>00048099</v>
      </c>
    </row>
    <row r="890" spans="1:11" ht="85.5" x14ac:dyDescent="0.25">
      <c r="A890" s="88">
        <v>108</v>
      </c>
      <c r="B890" s="89" t="s">
        <v>407</v>
      </c>
      <c r="C890" s="88" t="s">
        <v>0</v>
      </c>
      <c r="D890" s="89"/>
      <c r="E890" s="91">
        <v>82817</v>
      </c>
      <c r="F890" s="88">
        <v>4</v>
      </c>
      <c r="G890" s="89" t="s">
        <v>408</v>
      </c>
      <c r="H890" s="89" t="s">
        <v>409</v>
      </c>
      <c r="I890" s="89" t="s">
        <v>32</v>
      </c>
      <c r="J890" s="89" t="s">
        <v>410</v>
      </c>
      <c r="K890" s="89" t="str">
        <f>"00047997"</f>
        <v>00047997</v>
      </c>
    </row>
    <row r="891" spans="1:11" ht="71.25" x14ac:dyDescent="0.25">
      <c r="A891" s="88">
        <v>108</v>
      </c>
      <c r="B891" s="89" t="s">
        <v>394</v>
      </c>
      <c r="C891" s="88" t="s">
        <v>0</v>
      </c>
      <c r="D891" s="89"/>
      <c r="E891" s="91">
        <v>45551</v>
      </c>
      <c r="F891" s="88">
        <v>4</v>
      </c>
      <c r="G891" s="89" t="s">
        <v>399</v>
      </c>
      <c r="H891" s="89" t="s">
        <v>400</v>
      </c>
      <c r="I891" s="89" t="s">
        <v>66</v>
      </c>
      <c r="J891" s="89" t="s">
        <v>401</v>
      </c>
      <c r="K891" s="89" t="str">
        <f>"00048109"</f>
        <v>00048109</v>
      </c>
    </row>
    <row r="892" spans="1:11" ht="99.75" x14ac:dyDescent="0.25">
      <c r="A892" s="88">
        <v>108</v>
      </c>
      <c r="B892" s="89" t="s">
        <v>2142</v>
      </c>
      <c r="C892" s="88" t="s">
        <v>0</v>
      </c>
      <c r="D892" s="89"/>
      <c r="E892" s="91">
        <v>46454</v>
      </c>
      <c r="F892" s="88">
        <v>4</v>
      </c>
      <c r="G892" s="89" t="s">
        <v>2143</v>
      </c>
      <c r="H892" s="89" t="s">
        <v>2144</v>
      </c>
      <c r="I892" s="89" t="s">
        <v>32</v>
      </c>
      <c r="J892" s="89" t="s">
        <v>423</v>
      </c>
      <c r="K892" s="89" t="str">
        <f>"00049003"</f>
        <v>00049003</v>
      </c>
    </row>
    <row r="893" spans="1:11" ht="71.25" x14ac:dyDescent="0.25">
      <c r="A893" s="88">
        <v>108</v>
      </c>
      <c r="B893" s="89" t="s">
        <v>394</v>
      </c>
      <c r="C893" s="88" t="s">
        <v>0</v>
      </c>
      <c r="D893" s="89"/>
      <c r="E893" s="91">
        <v>45046</v>
      </c>
      <c r="F893" s="88">
        <v>4</v>
      </c>
      <c r="G893" s="89" t="s">
        <v>399</v>
      </c>
      <c r="H893" s="89" t="s">
        <v>400</v>
      </c>
      <c r="I893" s="89" t="s">
        <v>66</v>
      </c>
      <c r="J893" s="89" t="s">
        <v>401</v>
      </c>
      <c r="K893" s="89" t="str">
        <f>"00048111"</f>
        <v>00048111</v>
      </c>
    </row>
    <row r="894" spans="1:11" ht="71.25" x14ac:dyDescent="0.25">
      <c r="A894" s="88">
        <v>108</v>
      </c>
      <c r="B894" s="89" t="s">
        <v>390</v>
      </c>
      <c r="C894" s="88" t="s">
        <v>0</v>
      </c>
      <c r="D894" s="89"/>
      <c r="E894" s="91">
        <v>71743</v>
      </c>
      <c r="F894" s="88">
        <v>4</v>
      </c>
      <c r="G894" s="89" t="s">
        <v>391</v>
      </c>
      <c r="H894" s="89" t="s">
        <v>392</v>
      </c>
      <c r="I894" s="89" t="s">
        <v>32</v>
      </c>
      <c r="J894" s="89" t="s">
        <v>393</v>
      </c>
      <c r="K894" s="89" t="str">
        <f>"00047694"</f>
        <v>00047694</v>
      </c>
    </row>
    <row r="895" spans="1:11" ht="85.5" x14ac:dyDescent="0.25">
      <c r="A895" s="88">
        <v>108</v>
      </c>
      <c r="B895" s="89" t="s">
        <v>386</v>
      </c>
      <c r="C895" s="88" t="s">
        <v>0</v>
      </c>
      <c r="D895" s="89"/>
      <c r="E895" s="91">
        <v>78717</v>
      </c>
      <c r="F895" s="88">
        <v>4</v>
      </c>
      <c r="G895" s="89" t="s">
        <v>387</v>
      </c>
      <c r="H895" s="89" t="s">
        <v>388</v>
      </c>
      <c r="I895" s="89" t="s">
        <v>32</v>
      </c>
      <c r="J895" s="89" t="s">
        <v>389</v>
      </c>
      <c r="K895" s="89" t="str">
        <f>"00047600"</f>
        <v>00047600</v>
      </c>
    </row>
    <row r="896" spans="1:11" ht="71.25" x14ac:dyDescent="0.25">
      <c r="A896" s="88">
        <v>108</v>
      </c>
      <c r="B896" s="89" t="s">
        <v>382</v>
      </c>
      <c r="C896" s="88" t="s">
        <v>0</v>
      </c>
      <c r="D896" s="89"/>
      <c r="E896" s="91">
        <v>42807</v>
      </c>
      <c r="F896" s="88">
        <v>4</v>
      </c>
      <c r="G896" s="89" t="s">
        <v>383</v>
      </c>
      <c r="H896" s="89" t="s">
        <v>384</v>
      </c>
      <c r="I896" s="89" t="s">
        <v>66</v>
      </c>
      <c r="J896" s="89" t="s">
        <v>385</v>
      </c>
      <c r="K896" s="89" t="str">
        <f>"00047687"</f>
        <v>00047687</v>
      </c>
    </row>
    <row r="897" spans="1:11" ht="114" x14ac:dyDescent="0.25">
      <c r="A897" s="88">
        <v>108</v>
      </c>
      <c r="B897" s="89" t="s">
        <v>2130</v>
      </c>
      <c r="C897" s="88" t="s">
        <v>0</v>
      </c>
      <c r="D897" s="89"/>
      <c r="E897" s="91">
        <v>40000</v>
      </c>
      <c r="F897" s="88">
        <v>4</v>
      </c>
      <c r="G897" s="89" t="s">
        <v>2149</v>
      </c>
      <c r="H897" s="89" t="s">
        <v>2150</v>
      </c>
      <c r="I897" s="89" t="s">
        <v>237</v>
      </c>
      <c r="J897" s="89" t="s">
        <v>2151</v>
      </c>
      <c r="K897" s="89" t="str">
        <f>"00049234"</f>
        <v>00049234</v>
      </c>
    </row>
    <row r="898" spans="1:11" ht="128.25" x14ac:dyDescent="0.25">
      <c r="A898" s="88">
        <v>108</v>
      </c>
      <c r="B898" s="89" t="s">
        <v>2152</v>
      </c>
      <c r="C898" s="88" t="s">
        <v>0</v>
      </c>
      <c r="D898" s="89"/>
      <c r="E898" s="91">
        <v>43305</v>
      </c>
      <c r="F898" s="88">
        <v>4</v>
      </c>
      <c r="G898" s="89" t="s">
        <v>2153</v>
      </c>
      <c r="H898" s="89" t="s">
        <v>2154</v>
      </c>
      <c r="I898" s="89" t="s">
        <v>32</v>
      </c>
      <c r="J898" s="89" t="s">
        <v>2155</v>
      </c>
      <c r="K898" s="89" t="str">
        <f>"00048790"</f>
        <v>00048790</v>
      </c>
    </row>
    <row r="899" spans="1:11" ht="128.25" x14ac:dyDescent="0.25">
      <c r="A899" s="88">
        <v>108</v>
      </c>
      <c r="B899" s="89" t="s">
        <v>2130</v>
      </c>
      <c r="C899" s="88" t="s">
        <v>0</v>
      </c>
      <c r="D899" s="89"/>
      <c r="E899" s="91">
        <v>40000</v>
      </c>
      <c r="F899" s="88">
        <v>4</v>
      </c>
      <c r="G899" s="89" t="s">
        <v>2136</v>
      </c>
      <c r="H899" s="89" t="s">
        <v>2132</v>
      </c>
      <c r="I899" s="89" t="s">
        <v>2140</v>
      </c>
      <c r="J899" s="89" t="s">
        <v>2141</v>
      </c>
      <c r="K899" s="89" t="str">
        <f>"00049283"</f>
        <v>00049283</v>
      </c>
    </row>
    <row r="900" spans="1:11" ht="114" x14ac:dyDescent="0.25">
      <c r="A900" s="88">
        <v>108</v>
      </c>
      <c r="B900" s="89" t="s">
        <v>2130</v>
      </c>
      <c r="C900" s="88" t="s">
        <v>0</v>
      </c>
      <c r="D900" s="89"/>
      <c r="E900" s="91">
        <v>40000</v>
      </c>
      <c r="F900" s="88">
        <v>4</v>
      </c>
      <c r="G900" s="89" t="s">
        <v>2131</v>
      </c>
      <c r="H900" s="89" t="s">
        <v>2132</v>
      </c>
      <c r="I900" s="89" t="s">
        <v>237</v>
      </c>
      <c r="J900" s="89" t="s">
        <v>2133</v>
      </c>
      <c r="K900" s="89" t="str">
        <f>"00049279"</f>
        <v>00049279</v>
      </c>
    </row>
    <row r="901" spans="1:11" ht="114" x14ac:dyDescent="0.25">
      <c r="A901" s="88">
        <v>108</v>
      </c>
      <c r="B901" s="89" t="s">
        <v>2130</v>
      </c>
      <c r="C901" s="88" t="s">
        <v>0</v>
      </c>
      <c r="D901" s="89"/>
      <c r="E901" s="91">
        <v>40000</v>
      </c>
      <c r="F901" s="88">
        <v>4</v>
      </c>
      <c r="G901" s="89" t="s">
        <v>2136</v>
      </c>
      <c r="H901" s="89" t="s">
        <v>2132</v>
      </c>
      <c r="I901" s="89" t="s">
        <v>237</v>
      </c>
      <c r="J901" s="89" t="s">
        <v>2137</v>
      </c>
      <c r="K901" s="89" t="str">
        <f>"00049286"</f>
        <v>00049286</v>
      </c>
    </row>
    <row r="902" spans="1:11" ht="114" x14ac:dyDescent="0.25">
      <c r="A902" s="88">
        <v>108</v>
      </c>
      <c r="B902" s="89" t="s">
        <v>2130</v>
      </c>
      <c r="C902" s="88" t="s">
        <v>0</v>
      </c>
      <c r="D902" s="89"/>
      <c r="E902" s="91">
        <v>40000</v>
      </c>
      <c r="F902" s="88">
        <v>4</v>
      </c>
      <c r="G902" s="89" t="s">
        <v>2136</v>
      </c>
      <c r="H902" s="89" t="s">
        <v>2138</v>
      </c>
      <c r="I902" s="89" t="s">
        <v>237</v>
      </c>
      <c r="J902" s="89" t="s">
        <v>2139</v>
      </c>
      <c r="K902" s="89" t="str">
        <f>"00049281"</f>
        <v>00049281</v>
      </c>
    </row>
    <row r="903" spans="1:11" ht="114" x14ac:dyDescent="0.25">
      <c r="A903" s="88">
        <v>108</v>
      </c>
      <c r="B903" s="89" t="s">
        <v>2145</v>
      </c>
      <c r="C903" s="88" t="s">
        <v>0</v>
      </c>
      <c r="D903" s="89"/>
      <c r="E903" s="91">
        <v>38901</v>
      </c>
      <c r="F903" s="88">
        <v>4</v>
      </c>
      <c r="G903" s="89" t="s">
        <v>2146</v>
      </c>
      <c r="H903" s="89" t="s">
        <v>2147</v>
      </c>
      <c r="I903" s="89" t="s">
        <v>237</v>
      </c>
      <c r="J903" s="89" t="s">
        <v>2148</v>
      </c>
      <c r="K903" s="89" t="str">
        <f>"00049229"</f>
        <v>00049229</v>
      </c>
    </row>
    <row r="904" spans="1:11" ht="128.25" x14ac:dyDescent="0.25">
      <c r="A904" s="88">
        <v>108</v>
      </c>
      <c r="B904" s="89" t="s">
        <v>2130</v>
      </c>
      <c r="C904" s="88" t="s">
        <v>0</v>
      </c>
      <c r="D904" s="89"/>
      <c r="E904" s="91">
        <v>40000</v>
      </c>
      <c r="F904" s="88">
        <v>4</v>
      </c>
      <c r="G904" s="89" t="s">
        <v>2134</v>
      </c>
      <c r="H904" s="89" t="s">
        <v>2132</v>
      </c>
      <c r="I904" s="89" t="s">
        <v>237</v>
      </c>
      <c r="J904" s="89" t="s">
        <v>2135</v>
      </c>
      <c r="K904" s="89" t="str">
        <f>"00049228"</f>
        <v>00049228</v>
      </c>
    </row>
    <row r="905" spans="1:11" ht="71.25" x14ac:dyDescent="0.25">
      <c r="A905" s="88">
        <v>108</v>
      </c>
      <c r="B905" s="89" t="s">
        <v>394</v>
      </c>
      <c r="C905" s="88" t="s">
        <v>0</v>
      </c>
      <c r="D905" s="89"/>
      <c r="E905" s="91">
        <v>81385</v>
      </c>
      <c r="F905" s="88">
        <v>4</v>
      </c>
      <c r="G905" s="89" t="s">
        <v>2115</v>
      </c>
      <c r="H905" s="89" t="s">
        <v>2116</v>
      </c>
      <c r="I905" s="89" t="s">
        <v>66</v>
      </c>
      <c r="J905" s="89" t="s">
        <v>125</v>
      </c>
      <c r="K905" s="89" t="str">
        <f>"00050106"</f>
        <v>00050106</v>
      </c>
    </row>
    <row r="906" spans="1:11" ht="71.25" x14ac:dyDescent="0.25">
      <c r="A906" s="88">
        <v>108</v>
      </c>
      <c r="B906" s="89" t="s">
        <v>2122</v>
      </c>
      <c r="C906" s="88" t="s">
        <v>0</v>
      </c>
      <c r="D906" s="89"/>
      <c r="E906" s="91">
        <v>131220</v>
      </c>
      <c r="F906" s="88">
        <v>4</v>
      </c>
      <c r="G906" s="89" t="s">
        <v>2123</v>
      </c>
      <c r="H906" s="89" t="s">
        <v>2124</v>
      </c>
      <c r="I906" s="89" t="s">
        <v>17</v>
      </c>
      <c r="J906" s="89" t="s">
        <v>2125</v>
      </c>
      <c r="K906" s="89" t="s">
        <v>6627</v>
      </c>
    </row>
    <row r="907" spans="1:11" ht="99.75" x14ac:dyDescent="0.25">
      <c r="A907" s="88">
        <v>108</v>
      </c>
      <c r="B907" s="89" t="s">
        <v>2126</v>
      </c>
      <c r="C907" s="88" t="s">
        <v>0</v>
      </c>
      <c r="D907" s="89"/>
      <c r="E907" s="91">
        <v>92383</v>
      </c>
      <c r="F907" s="88">
        <v>4</v>
      </c>
      <c r="G907" s="89" t="s">
        <v>2127</v>
      </c>
      <c r="H907" s="89" t="s">
        <v>2128</v>
      </c>
      <c r="I907" s="89" t="s">
        <v>32</v>
      </c>
      <c r="J907" s="89" t="s">
        <v>2129</v>
      </c>
      <c r="K907" s="89" t="s">
        <v>6377</v>
      </c>
    </row>
    <row r="908" spans="1:11" ht="114" x14ac:dyDescent="0.25">
      <c r="A908" s="88">
        <v>108</v>
      </c>
      <c r="B908" s="89" t="s">
        <v>2118</v>
      </c>
      <c r="C908" s="88" t="s">
        <v>0</v>
      </c>
      <c r="D908" s="89"/>
      <c r="E908" s="91">
        <v>77754</v>
      </c>
      <c r="F908" s="88">
        <v>4</v>
      </c>
      <c r="G908" s="89" t="s">
        <v>2119</v>
      </c>
      <c r="H908" s="89" t="s">
        <v>2120</v>
      </c>
      <c r="I908" s="89" t="s">
        <v>17</v>
      </c>
      <c r="J908" s="89" t="s">
        <v>18</v>
      </c>
      <c r="K908" s="89" t="s">
        <v>6378</v>
      </c>
    </row>
    <row r="909" spans="1:11" ht="71.25" x14ac:dyDescent="0.25">
      <c r="A909" s="88">
        <v>108</v>
      </c>
      <c r="B909" s="89" t="s">
        <v>394</v>
      </c>
      <c r="C909" s="88" t="s">
        <v>0</v>
      </c>
      <c r="D909" s="89"/>
      <c r="E909" s="91">
        <v>83631</v>
      </c>
      <c r="F909" s="88">
        <v>4</v>
      </c>
      <c r="G909" s="89" t="s">
        <v>2115</v>
      </c>
      <c r="H909" s="89" t="s">
        <v>2121</v>
      </c>
      <c r="I909" s="89" t="s">
        <v>66</v>
      </c>
      <c r="J909" s="89" t="s">
        <v>125</v>
      </c>
      <c r="K909" s="89" t="str">
        <f>"00050103"</f>
        <v>00050103</v>
      </c>
    </row>
    <row r="910" spans="1:11" ht="71.25" x14ac:dyDescent="0.25">
      <c r="A910" s="88">
        <v>108</v>
      </c>
      <c r="B910" s="89" t="s">
        <v>394</v>
      </c>
      <c r="C910" s="88" t="s">
        <v>0</v>
      </c>
      <c r="D910" s="89"/>
      <c r="E910" s="91">
        <v>81885</v>
      </c>
      <c r="F910" s="88">
        <v>4</v>
      </c>
      <c r="G910" s="89" t="s">
        <v>2115</v>
      </c>
      <c r="H910" s="89" t="s">
        <v>2117</v>
      </c>
      <c r="I910" s="89" t="s">
        <v>66</v>
      </c>
      <c r="J910" s="89" t="s">
        <v>125</v>
      </c>
      <c r="K910" s="89" t="str">
        <f>"00050107"</f>
        <v>00050107</v>
      </c>
    </row>
    <row r="911" spans="1:11" ht="85.5" x14ac:dyDescent="0.25">
      <c r="A911" s="88">
        <v>108</v>
      </c>
      <c r="B911" s="89" t="s">
        <v>394</v>
      </c>
      <c r="C911" s="88" t="s">
        <v>0</v>
      </c>
      <c r="D911" s="89"/>
      <c r="E911" s="91">
        <v>121088</v>
      </c>
      <c r="F911" s="88">
        <v>4</v>
      </c>
      <c r="G911" s="89" t="s">
        <v>2156</v>
      </c>
      <c r="H911" s="89" t="s">
        <v>2157</v>
      </c>
      <c r="I911" s="89" t="s">
        <v>1144</v>
      </c>
      <c r="J911" s="89" t="s">
        <v>1145</v>
      </c>
      <c r="K911" s="89" t="str">
        <f>"00051079"</f>
        <v>00051079</v>
      </c>
    </row>
    <row r="912" spans="1:11" ht="85.5" x14ac:dyDescent="0.25">
      <c r="A912" s="88">
        <v>108</v>
      </c>
      <c r="B912" s="89" t="s">
        <v>394</v>
      </c>
      <c r="C912" s="88" t="s">
        <v>0</v>
      </c>
      <c r="D912" s="89"/>
      <c r="E912" s="91">
        <v>111106</v>
      </c>
      <c r="F912" s="88">
        <v>4</v>
      </c>
      <c r="G912" s="89" t="s">
        <v>2156</v>
      </c>
      <c r="H912" s="89" t="s">
        <v>2158</v>
      </c>
      <c r="I912" s="89" t="s">
        <v>1144</v>
      </c>
      <c r="J912" s="89" t="s">
        <v>1145</v>
      </c>
      <c r="K912" s="89" t="str">
        <f>"00051082"</f>
        <v>00051082</v>
      </c>
    </row>
    <row r="913" spans="1:11" ht="85.5" x14ac:dyDescent="0.25">
      <c r="A913" s="88">
        <v>108</v>
      </c>
      <c r="B913" s="89" t="s">
        <v>394</v>
      </c>
      <c r="C913" s="88" t="s">
        <v>0</v>
      </c>
      <c r="D913" s="89"/>
      <c r="E913" s="91">
        <v>112456</v>
      </c>
      <c r="F913" s="88">
        <v>4</v>
      </c>
      <c r="G913" s="89" t="s">
        <v>2156</v>
      </c>
      <c r="H913" s="89" t="s">
        <v>2158</v>
      </c>
      <c r="I913" s="89" t="s">
        <v>1144</v>
      </c>
      <c r="J913" s="89" t="s">
        <v>1145</v>
      </c>
      <c r="K913" s="89" t="str">
        <f>"00051081"</f>
        <v>00051081</v>
      </c>
    </row>
    <row r="914" spans="1:11" ht="71.25" x14ac:dyDescent="0.25">
      <c r="A914" s="88">
        <v>108</v>
      </c>
      <c r="B914" s="89" t="s">
        <v>382</v>
      </c>
      <c r="C914" s="88" t="s">
        <v>0</v>
      </c>
      <c r="D914" s="89"/>
      <c r="E914" s="91">
        <v>57055</v>
      </c>
      <c r="F914" s="88">
        <v>4</v>
      </c>
      <c r="G914" s="89" t="s">
        <v>2163</v>
      </c>
      <c r="H914" s="89" t="s">
        <v>2164</v>
      </c>
      <c r="I914" s="89" t="s">
        <v>80</v>
      </c>
      <c r="J914" s="89" t="s">
        <v>80</v>
      </c>
      <c r="K914" s="89" t="str">
        <f>"00051812"</f>
        <v>00051812</v>
      </c>
    </row>
    <row r="915" spans="1:11" ht="85.5" x14ac:dyDescent="0.25">
      <c r="A915" s="88">
        <v>108</v>
      </c>
      <c r="B915" s="89" t="s">
        <v>386</v>
      </c>
      <c r="C915" s="88" t="s">
        <v>0</v>
      </c>
      <c r="D915" s="89"/>
      <c r="E915" s="91">
        <v>82046</v>
      </c>
      <c r="F915" s="88">
        <v>4</v>
      </c>
      <c r="G915" s="89" t="s">
        <v>2159</v>
      </c>
      <c r="H915" s="89" t="s">
        <v>2160</v>
      </c>
      <c r="I915" s="89" t="s">
        <v>2161</v>
      </c>
      <c r="J915" s="89" t="s">
        <v>2162</v>
      </c>
      <c r="K915" s="89" t="str">
        <f>"00051695"</f>
        <v>00051695</v>
      </c>
    </row>
    <row r="916" spans="1:11" ht="85.5" x14ac:dyDescent="0.25">
      <c r="A916" s="88">
        <v>108</v>
      </c>
      <c r="B916" s="89" t="s">
        <v>2165</v>
      </c>
      <c r="C916" s="88" t="s">
        <v>0</v>
      </c>
      <c r="D916" s="89"/>
      <c r="E916" s="91">
        <v>15128</v>
      </c>
      <c r="F916" s="88">
        <v>4</v>
      </c>
      <c r="G916" s="89" t="s">
        <v>2166</v>
      </c>
      <c r="H916" s="89" t="s">
        <v>2167</v>
      </c>
      <c r="I916" s="89" t="s">
        <v>66</v>
      </c>
      <c r="J916" s="89" t="s">
        <v>2168</v>
      </c>
      <c r="K916" s="89" t="str">
        <f>"00051097"</f>
        <v>00051097</v>
      </c>
    </row>
    <row r="917" spans="1:11" ht="99.75" x14ac:dyDescent="0.25">
      <c r="A917" s="88">
        <v>108</v>
      </c>
      <c r="B917" s="89" t="s">
        <v>411</v>
      </c>
      <c r="C917" s="88" t="s">
        <v>0</v>
      </c>
      <c r="D917" s="89"/>
      <c r="E917" s="91">
        <v>60000</v>
      </c>
      <c r="F917" s="88">
        <v>4</v>
      </c>
      <c r="G917" s="89" t="s">
        <v>412</v>
      </c>
      <c r="H917" s="89" t="s">
        <v>413</v>
      </c>
      <c r="I917" s="89" t="s">
        <v>32</v>
      </c>
      <c r="J917" s="89" t="s">
        <v>414</v>
      </c>
      <c r="K917" s="89" t="str">
        <f>"00048118"</f>
        <v>00048118</v>
      </c>
    </row>
    <row r="918" spans="1:11" ht="71.25" x14ac:dyDescent="0.25">
      <c r="A918" s="88">
        <v>108</v>
      </c>
      <c r="B918" s="89" t="s">
        <v>415</v>
      </c>
      <c r="C918" s="88" t="s">
        <v>0</v>
      </c>
      <c r="D918" s="89"/>
      <c r="E918" s="91">
        <v>58663</v>
      </c>
      <c r="F918" s="88">
        <v>4</v>
      </c>
      <c r="G918" s="89" t="s">
        <v>5724</v>
      </c>
      <c r="H918" s="89" t="s">
        <v>416</v>
      </c>
      <c r="I918" s="89" t="s">
        <v>32</v>
      </c>
      <c r="J918" s="89" t="s">
        <v>417</v>
      </c>
      <c r="K918" s="89" t="str">
        <f>"00047387"</f>
        <v>00047387</v>
      </c>
    </row>
    <row r="919" spans="1:11" ht="99.75" x14ac:dyDescent="0.25">
      <c r="A919" s="88">
        <v>108</v>
      </c>
      <c r="B919" s="89" t="s">
        <v>5725</v>
      </c>
      <c r="C919" s="88" t="s">
        <v>0</v>
      </c>
      <c r="D919" s="89"/>
      <c r="E919" s="91">
        <v>23247</v>
      </c>
      <c r="F919" s="88">
        <v>4</v>
      </c>
      <c r="G919" s="89" t="s">
        <v>5726</v>
      </c>
      <c r="H919" s="89" t="s">
        <v>5427</v>
      </c>
      <c r="I919" s="89" t="s">
        <v>5727</v>
      </c>
      <c r="J919" s="89" t="s">
        <v>5728</v>
      </c>
      <c r="K919" s="89" t="s">
        <v>5729</v>
      </c>
    </row>
    <row r="920" spans="1:11" ht="28.5" x14ac:dyDescent="0.25">
      <c r="A920" s="88">
        <v>108</v>
      </c>
      <c r="B920" s="89" t="s">
        <v>12</v>
      </c>
      <c r="C920" s="88" t="s">
        <v>0</v>
      </c>
      <c r="D920" s="91">
        <v>75400000</v>
      </c>
      <c r="E920" s="32"/>
      <c r="F920" s="88">
        <v>4</v>
      </c>
      <c r="G920" s="89" t="s">
        <v>52</v>
      </c>
      <c r="H920" s="89"/>
      <c r="I920" s="89" t="s">
        <v>53</v>
      </c>
      <c r="J920" s="89"/>
      <c r="K920" s="89" t="str">
        <f>"　"</f>
        <v>　</v>
      </c>
    </row>
    <row r="921" spans="1:11" ht="42.75" x14ac:dyDescent="0.25">
      <c r="A921" s="88">
        <v>108</v>
      </c>
      <c r="B921" s="89" t="s">
        <v>418</v>
      </c>
      <c r="C921" s="88" t="s">
        <v>0</v>
      </c>
      <c r="D921" s="89"/>
      <c r="E921" s="91">
        <v>62546</v>
      </c>
      <c r="F921" s="88">
        <v>4</v>
      </c>
      <c r="G921" s="89" t="s">
        <v>419</v>
      </c>
      <c r="H921" s="89" t="s">
        <v>56</v>
      </c>
      <c r="I921" s="89" t="s">
        <v>66</v>
      </c>
      <c r="J921" s="89" t="s">
        <v>125</v>
      </c>
      <c r="K921" s="89" t="str">
        <f>"00046785"</f>
        <v>00046785</v>
      </c>
    </row>
    <row r="922" spans="1:11" ht="57" x14ac:dyDescent="0.25">
      <c r="A922" s="88">
        <v>108</v>
      </c>
      <c r="B922" s="89" t="s">
        <v>424</v>
      </c>
      <c r="C922" s="88" t="s">
        <v>0</v>
      </c>
      <c r="D922" s="89"/>
      <c r="E922" s="91">
        <v>102611</v>
      </c>
      <c r="F922" s="88">
        <v>4</v>
      </c>
      <c r="G922" s="89" t="s">
        <v>425</v>
      </c>
      <c r="H922" s="89" t="s">
        <v>426</v>
      </c>
      <c r="I922" s="89" t="s">
        <v>173</v>
      </c>
      <c r="J922" s="89" t="s">
        <v>427</v>
      </c>
      <c r="K922" s="89" t="s">
        <v>6379</v>
      </c>
    </row>
    <row r="923" spans="1:11" ht="99.75" x14ac:dyDescent="0.25">
      <c r="A923" s="88">
        <v>108</v>
      </c>
      <c r="B923" s="89" t="s">
        <v>428</v>
      </c>
      <c r="C923" s="88" t="s">
        <v>0</v>
      </c>
      <c r="D923" s="89"/>
      <c r="E923" s="91">
        <v>56596</v>
      </c>
      <c r="F923" s="88">
        <v>4</v>
      </c>
      <c r="G923" s="89" t="s">
        <v>429</v>
      </c>
      <c r="H923" s="89" t="s">
        <v>430</v>
      </c>
      <c r="I923" s="89" t="s">
        <v>32</v>
      </c>
      <c r="J923" s="89" t="s">
        <v>431</v>
      </c>
      <c r="K923" s="89" t="s">
        <v>6380</v>
      </c>
    </row>
    <row r="924" spans="1:11" ht="85.5" x14ac:dyDescent="0.25">
      <c r="A924" s="88">
        <v>108</v>
      </c>
      <c r="B924" s="89" t="s">
        <v>420</v>
      </c>
      <c r="C924" s="88" t="s">
        <v>0</v>
      </c>
      <c r="D924" s="89"/>
      <c r="E924" s="91">
        <v>15853</v>
      </c>
      <c r="F924" s="88">
        <v>4</v>
      </c>
      <c r="G924" s="89" t="s">
        <v>421</v>
      </c>
      <c r="H924" s="89" t="s">
        <v>422</v>
      </c>
      <c r="I924" s="89" t="s">
        <v>32</v>
      </c>
      <c r="J924" s="89" t="s">
        <v>423</v>
      </c>
      <c r="K924" s="89" t="str">
        <f>"00048374"</f>
        <v>00048374</v>
      </c>
    </row>
    <row r="925" spans="1:11" ht="57" x14ac:dyDescent="0.25">
      <c r="A925" s="88">
        <v>108</v>
      </c>
      <c r="B925" s="89" t="s">
        <v>424</v>
      </c>
      <c r="C925" s="88" t="s">
        <v>0</v>
      </c>
      <c r="D925" s="89"/>
      <c r="E925" s="91">
        <v>102872</v>
      </c>
      <c r="F925" s="88">
        <v>4</v>
      </c>
      <c r="G925" s="89" t="s">
        <v>2173</v>
      </c>
      <c r="H925" s="89" t="s">
        <v>2128</v>
      </c>
      <c r="I925" s="89" t="s">
        <v>161</v>
      </c>
      <c r="J925" s="89" t="s">
        <v>1680</v>
      </c>
      <c r="K925" s="89" t="str">
        <f>"00050192"</f>
        <v>00050192</v>
      </c>
    </row>
    <row r="926" spans="1:11" ht="128.25" x14ac:dyDescent="0.25">
      <c r="A926" s="88">
        <v>108</v>
      </c>
      <c r="B926" s="89" t="s">
        <v>2181</v>
      </c>
      <c r="C926" s="88" t="s">
        <v>0</v>
      </c>
      <c r="D926" s="89"/>
      <c r="E926" s="91">
        <v>63627</v>
      </c>
      <c r="F926" s="88">
        <v>4</v>
      </c>
      <c r="G926" s="89" t="s">
        <v>2182</v>
      </c>
      <c r="H926" s="89" t="s">
        <v>2183</v>
      </c>
      <c r="I926" s="89" t="s">
        <v>2184</v>
      </c>
      <c r="J926" s="89" t="s">
        <v>2185</v>
      </c>
      <c r="K926" s="89" t="s">
        <v>6381</v>
      </c>
    </row>
    <row r="927" spans="1:11" ht="57" x14ac:dyDescent="0.25">
      <c r="A927" s="88">
        <v>108</v>
      </c>
      <c r="B927" s="89" t="s">
        <v>1098</v>
      </c>
      <c r="C927" s="88" t="s">
        <v>0</v>
      </c>
      <c r="D927" s="89"/>
      <c r="E927" s="91">
        <v>75842</v>
      </c>
      <c r="F927" s="88">
        <v>4</v>
      </c>
      <c r="G927" s="89" t="s">
        <v>2177</v>
      </c>
      <c r="H927" s="89" t="s">
        <v>2178</v>
      </c>
      <c r="I927" s="89" t="s">
        <v>2179</v>
      </c>
      <c r="J927" s="89" t="s">
        <v>2180</v>
      </c>
      <c r="K927" s="89" t="str">
        <f>"00049835"</f>
        <v>00049835</v>
      </c>
    </row>
    <row r="928" spans="1:11" ht="128.25" x14ac:dyDescent="0.25">
      <c r="A928" s="88">
        <v>108</v>
      </c>
      <c r="B928" s="89" t="s">
        <v>2174</v>
      </c>
      <c r="C928" s="88" t="s">
        <v>0</v>
      </c>
      <c r="D928" s="89"/>
      <c r="E928" s="91">
        <v>79354</v>
      </c>
      <c r="F928" s="88">
        <v>4</v>
      </c>
      <c r="G928" s="89" t="s">
        <v>2175</v>
      </c>
      <c r="H928" s="89" t="s">
        <v>2176</v>
      </c>
      <c r="I928" s="89" t="s">
        <v>161</v>
      </c>
      <c r="J928" s="89" t="s">
        <v>1680</v>
      </c>
      <c r="K928" s="89" t="str">
        <f>"00049469"</f>
        <v>00049469</v>
      </c>
    </row>
    <row r="929" spans="1:11" ht="85.5" x14ac:dyDescent="0.25">
      <c r="A929" s="88">
        <v>108</v>
      </c>
      <c r="B929" s="89" t="s">
        <v>1095</v>
      </c>
      <c r="C929" s="88" t="s">
        <v>0</v>
      </c>
      <c r="D929" s="89"/>
      <c r="E929" s="91">
        <v>61081</v>
      </c>
      <c r="F929" s="88">
        <v>4</v>
      </c>
      <c r="G929" s="89" t="s">
        <v>2169</v>
      </c>
      <c r="H929" s="89" t="s">
        <v>2170</v>
      </c>
      <c r="I929" s="89" t="s">
        <v>2171</v>
      </c>
      <c r="J929" s="89" t="s">
        <v>2172</v>
      </c>
      <c r="K929" s="89" t="s">
        <v>6626</v>
      </c>
    </row>
    <row r="930" spans="1:11" ht="57" x14ac:dyDescent="0.25">
      <c r="A930" s="88">
        <v>108</v>
      </c>
      <c r="B930" s="89" t="s">
        <v>2186</v>
      </c>
      <c r="C930" s="88" t="s">
        <v>0</v>
      </c>
      <c r="D930" s="89"/>
      <c r="E930" s="91">
        <v>78914</v>
      </c>
      <c r="F930" s="88">
        <v>4</v>
      </c>
      <c r="G930" s="89" t="s">
        <v>2187</v>
      </c>
      <c r="H930" s="89" t="s">
        <v>2188</v>
      </c>
      <c r="I930" s="89" t="s">
        <v>32</v>
      </c>
      <c r="J930" s="89" t="s">
        <v>2189</v>
      </c>
      <c r="K930" s="89" t="s">
        <v>6625</v>
      </c>
    </row>
    <row r="931" spans="1:11" ht="57" x14ac:dyDescent="0.25">
      <c r="A931" s="88">
        <v>108</v>
      </c>
      <c r="B931" s="89" t="s">
        <v>4552</v>
      </c>
      <c r="C931" s="88" t="s">
        <v>0</v>
      </c>
      <c r="D931" s="89"/>
      <c r="E931" s="91">
        <v>77515</v>
      </c>
      <c r="F931" s="88">
        <v>4</v>
      </c>
      <c r="G931" s="89" t="s">
        <v>4552</v>
      </c>
      <c r="H931" s="89" t="s">
        <v>4553</v>
      </c>
      <c r="I931" s="89" t="s">
        <v>2231</v>
      </c>
      <c r="J931" s="89" t="s">
        <v>4554</v>
      </c>
      <c r="K931" s="89" t="str">
        <f>"00050711"</f>
        <v>00050711</v>
      </c>
    </row>
    <row r="932" spans="1:11" ht="28.5" x14ac:dyDescent="0.25">
      <c r="A932" s="88">
        <v>108</v>
      </c>
      <c r="B932" s="89" t="s">
        <v>12</v>
      </c>
      <c r="C932" s="88" t="s">
        <v>0</v>
      </c>
      <c r="D932" s="91">
        <v>75400000</v>
      </c>
      <c r="E932" s="32"/>
      <c r="F932" s="88">
        <v>4</v>
      </c>
      <c r="G932" s="89" t="s">
        <v>52</v>
      </c>
      <c r="H932" s="89"/>
      <c r="I932" s="89" t="s">
        <v>53</v>
      </c>
      <c r="J932" s="89"/>
      <c r="K932" s="89" t="str">
        <f>"　"</f>
        <v>　</v>
      </c>
    </row>
    <row r="933" spans="1:11" ht="71.25" x14ac:dyDescent="0.25">
      <c r="A933" s="88">
        <v>108</v>
      </c>
      <c r="B933" s="89" t="s">
        <v>2211</v>
      </c>
      <c r="C933" s="88" t="s">
        <v>0</v>
      </c>
      <c r="D933" s="89"/>
      <c r="E933" s="91">
        <v>91692</v>
      </c>
      <c r="F933" s="88">
        <v>4</v>
      </c>
      <c r="G933" s="89" t="s">
        <v>2212</v>
      </c>
      <c r="H933" s="89" t="s">
        <v>1676</v>
      </c>
      <c r="I933" s="89" t="s">
        <v>161</v>
      </c>
      <c r="J933" s="89" t="s">
        <v>2213</v>
      </c>
      <c r="K933" s="89" t="str">
        <f>"00049890"</f>
        <v>00049890</v>
      </c>
    </row>
    <row r="934" spans="1:11" ht="57" x14ac:dyDescent="0.25">
      <c r="A934" s="88">
        <v>108</v>
      </c>
      <c r="B934" s="89" t="s">
        <v>2208</v>
      </c>
      <c r="C934" s="88" t="s">
        <v>0</v>
      </c>
      <c r="D934" s="89"/>
      <c r="E934" s="91">
        <v>54615</v>
      </c>
      <c r="F934" s="88">
        <v>4</v>
      </c>
      <c r="G934" s="89" t="s">
        <v>2214</v>
      </c>
      <c r="H934" s="89" t="s">
        <v>2215</v>
      </c>
      <c r="I934" s="89" t="s">
        <v>94</v>
      </c>
      <c r="J934" s="89" t="s">
        <v>2216</v>
      </c>
      <c r="K934" s="89" t="s">
        <v>6624</v>
      </c>
    </row>
    <row r="935" spans="1:11" ht="99.75" x14ac:dyDescent="0.25">
      <c r="A935" s="88">
        <v>108</v>
      </c>
      <c r="B935" s="89" t="s">
        <v>2217</v>
      </c>
      <c r="C935" s="88" t="s">
        <v>0</v>
      </c>
      <c r="D935" s="89"/>
      <c r="E935" s="91">
        <v>110000</v>
      </c>
      <c r="F935" s="88">
        <v>4</v>
      </c>
      <c r="G935" s="89" t="s">
        <v>2218</v>
      </c>
      <c r="H935" s="89" t="s">
        <v>2219</v>
      </c>
      <c r="I935" s="89" t="s">
        <v>106</v>
      </c>
      <c r="J935" s="89" t="s">
        <v>755</v>
      </c>
      <c r="K935" s="89" t="str">
        <f>"00051069"</f>
        <v>00051069</v>
      </c>
    </row>
    <row r="936" spans="1:11" ht="99.75" x14ac:dyDescent="0.25">
      <c r="A936" s="88">
        <v>108</v>
      </c>
      <c r="B936" s="89" t="s">
        <v>2190</v>
      </c>
      <c r="C936" s="88" t="s">
        <v>0</v>
      </c>
      <c r="D936" s="89"/>
      <c r="E936" s="91">
        <v>25045</v>
      </c>
      <c r="F936" s="88">
        <v>4</v>
      </c>
      <c r="G936" s="89" t="s">
        <v>2197</v>
      </c>
      <c r="H936" s="89" t="s">
        <v>2198</v>
      </c>
      <c r="I936" s="89" t="s">
        <v>2199</v>
      </c>
      <c r="J936" s="89" t="s">
        <v>2200</v>
      </c>
      <c r="K936" s="89" t="str">
        <f>"00052535"</f>
        <v>00052535</v>
      </c>
    </row>
    <row r="937" spans="1:11" ht="99.75" x14ac:dyDescent="0.25">
      <c r="A937" s="88">
        <v>108</v>
      </c>
      <c r="B937" s="89" t="s">
        <v>2208</v>
      </c>
      <c r="C937" s="88" t="s">
        <v>0</v>
      </c>
      <c r="D937" s="89"/>
      <c r="E937" s="91">
        <v>21497</v>
      </c>
      <c r="F937" s="88">
        <v>4</v>
      </c>
      <c r="G937" s="89" t="s">
        <v>2209</v>
      </c>
      <c r="H937" s="89" t="s">
        <v>2150</v>
      </c>
      <c r="I937" s="89" t="s">
        <v>237</v>
      </c>
      <c r="J937" s="89" t="s">
        <v>2210</v>
      </c>
      <c r="K937" s="89" t="s">
        <v>6382</v>
      </c>
    </row>
    <row r="938" spans="1:11" ht="71.25" x14ac:dyDescent="0.25">
      <c r="A938" s="88">
        <v>108</v>
      </c>
      <c r="B938" s="89" t="s">
        <v>2190</v>
      </c>
      <c r="C938" s="88" t="s">
        <v>0</v>
      </c>
      <c r="D938" s="89"/>
      <c r="E938" s="91">
        <v>35458</v>
      </c>
      <c r="F938" s="88">
        <v>4</v>
      </c>
      <c r="G938" s="89" t="s">
        <v>2193</v>
      </c>
      <c r="H938" s="89" t="s">
        <v>2194</v>
      </c>
      <c r="I938" s="89" t="s">
        <v>1839</v>
      </c>
      <c r="J938" s="89" t="s">
        <v>2195</v>
      </c>
      <c r="K938" s="89" t="s">
        <v>6383</v>
      </c>
    </row>
    <row r="939" spans="1:11" ht="71.25" x14ac:dyDescent="0.25">
      <c r="A939" s="88">
        <v>108</v>
      </c>
      <c r="B939" s="89" t="s">
        <v>2201</v>
      </c>
      <c r="C939" s="88" t="s">
        <v>0</v>
      </c>
      <c r="D939" s="89"/>
      <c r="E939" s="91">
        <v>54863</v>
      </c>
      <c r="F939" s="88">
        <v>4</v>
      </c>
      <c r="G939" s="89" t="s">
        <v>2202</v>
      </c>
      <c r="H939" s="89" t="s">
        <v>2203</v>
      </c>
      <c r="I939" s="89" t="s">
        <v>161</v>
      </c>
      <c r="J939" s="89" t="s">
        <v>2204</v>
      </c>
      <c r="K939" s="89" t="str">
        <f>"00052107"</f>
        <v>00052107</v>
      </c>
    </row>
    <row r="940" spans="1:11" ht="57" x14ac:dyDescent="0.25">
      <c r="A940" s="88">
        <v>108</v>
      </c>
      <c r="B940" s="89" t="s">
        <v>2190</v>
      </c>
      <c r="C940" s="88" t="s">
        <v>0</v>
      </c>
      <c r="D940" s="89"/>
      <c r="E940" s="91">
        <v>36888</v>
      </c>
      <c r="F940" s="88">
        <v>4</v>
      </c>
      <c r="G940" s="89" t="s">
        <v>2191</v>
      </c>
      <c r="H940" s="89" t="s">
        <v>2192</v>
      </c>
      <c r="I940" s="89" t="s">
        <v>161</v>
      </c>
      <c r="J940" s="89" t="s">
        <v>1680</v>
      </c>
      <c r="K940" s="89" t="s">
        <v>6384</v>
      </c>
    </row>
    <row r="941" spans="1:11" ht="42.75" x14ac:dyDescent="0.25">
      <c r="A941" s="88">
        <v>108</v>
      </c>
      <c r="B941" s="89" t="s">
        <v>2190</v>
      </c>
      <c r="C941" s="88" t="s">
        <v>0</v>
      </c>
      <c r="D941" s="89"/>
      <c r="E941" s="91">
        <v>27689</v>
      </c>
      <c r="F941" s="88">
        <v>4</v>
      </c>
      <c r="G941" s="89" t="s">
        <v>2193</v>
      </c>
      <c r="H941" s="89" t="s">
        <v>2196</v>
      </c>
      <c r="I941" s="89" t="s">
        <v>161</v>
      </c>
      <c r="J941" s="89" t="s">
        <v>1680</v>
      </c>
      <c r="K941" s="89" t="s">
        <v>6385</v>
      </c>
    </row>
    <row r="942" spans="1:11" ht="57" x14ac:dyDescent="0.25">
      <c r="A942" s="88">
        <v>108</v>
      </c>
      <c r="B942" s="89" t="s">
        <v>2190</v>
      </c>
      <c r="C942" s="88" t="s">
        <v>0</v>
      </c>
      <c r="D942" s="89"/>
      <c r="E942" s="91">
        <v>26089</v>
      </c>
      <c r="F942" s="88">
        <v>4</v>
      </c>
      <c r="G942" s="89" t="s">
        <v>2191</v>
      </c>
      <c r="H942" s="89" t="s">
        <v>2196</v>
      </c>
      <c r="I942" s="89" t="s">
        <v>161</v>
      </c>
      <c r="J942" s="89" t="s">
        <v>1680</v>
      </c>
      <c r="K942" s="89" t="s">
        <v>6386</v>
      </c>
    </row>
    <row r="943" spans="1:11" ht="57" x14ac:dyDescent="0.25">
      <c r="A943" s="88">
        <v>108</v>
      </c>
      <c r="B943" s="89" t="s">
        <v>2190</v>
      </c>
      <c r="C943" s="88" t="s">
        <v>0</v>
      </c>
      <c r="D943" s="89"/>
      <c r="E943" s="91">
        <v>36811</v>
      </c>
      <c r="F943" s="88">
        <v>4</v>
      </c>
      <c r="G943" s="89" t="s">
        <v>2193</v>
      </c>
      <c r="H943" s="89" t="s">
        <v>2205</v>
      </c>
      <c r="I943" s="89" t="s">
        <v>2206</v>
      </c>
      <c r="J943" s="89" t="s">
        <v>2207</v>
      </c>
      <c r="K943" s="89" t="s">
        <v>6387</v>
      </c>
    </row>
    <row r="944" spans="1:11" ht="28.5" x14ac:dyDescent="0.25">
      <c r="A944" s="88">
        <v>108</v>
      </c>
      <c r="B944" s="89" t="s">
        <v>12</v>
      </c>
      <c r="C944" s="88" t="s">
        <v>0</v>
      </c>
      <c r="D944" s="91">
        <v>75400000</v>
      </c>
      <c r="E944" s="32"/>
      <c r="F944" s="88">
        <v>4</v>
      </c>
      <c r="G944" s="89" t="s">
        <v>52</v>
      </c>
      <c r="H944" s="89"/>
      <c r="I944" s="88" t="s">
        <v>53</v>
      </c>
      <c r="J944" s="88"/>
      <c r="K944" s="89" t="str">
        <f>"　"</f>
        <v>　</v>
      </c>
    </row>
    <row r="945" spans="1:11" ht="71.25" x14ac:dyDescent="0.25">
      <c r="A945" s="88">
        <v>108</v>
      </c>
      <c r="B945" s="89" t="s">
        <v>441</v>
      </c>
      <c r="C945" s="88" t="s">
        <v>0</v>
      </c>
      <c r="D945" s="89"/>
      <c r="E945" s="91">
        <v>67562</v>
      </c>
      <c r="F945" s="88">
        <v>4</v>
      </c>
      <c r="G945" s="89" t="s">
        <v>442</v>
      </c>
      <c r="H945" s="89" t="s">
        <v>443</v>
      </c>
      <c r="I945" s="88" t="s">
        <v>66</v>
      </c>
      <c r="J945" s="88" t="s">
        <v>125</v>
      </c>
      <c r="K945" s="89" t="s">
        <v>6015</v>
      </c>
    </row>
    <row r="946" spans="1:11" ht="42.75" x14ac:dyDescent="0.25">
      <c r="A946" s="88">
        <v>108</v>
      </c>
      <c r="B946" s="89" t="s">
        <v>439</v>
      </c>
      <c r="C946" s="88" t="s">
        <v>0</v>
      </c>
      <c r="D946" s="89"/>
      <c r="E946" s="91">
        <v>73497</v>
      </c>
      <c r="F946" s="88">
        <v>4</v>
      </c>
      <c r="G946" s="89" t="s">
        <v>440</v>
      </c>
      <c r="H946" s="89" t="s">
        <v>392</v>
      </c>
      <c r="I946" s="89" t="s">
        <v>66</v>
      </c>
      <c r="J946" s="89" t="s">
        <v>125</v>
      </c>
      <c r="K946" s="89" t="s">
        <v>5905</v>
      </c>
    </row>
    <row r="947" spans="1:11" ht="57" x14ac:dyDescent="0.25">
      <c r="A947" s="88">
        <v>108</v>
      </c>
      <c r="B947" s="89" t="s">
        <v>432</v>
      </c>
      <c r="C947" s="88" t="s">
        <v>0</v>
      </c>
      <c r="D947" s="89"/>
      <c r="E947" s="91">
        <v>55812</v>
      </c>
      <c r="F947" s="88">
        <v>4</v>
      </c>
      <c r="G947" s="89" t="s">
        <v>433</v>
      </c>
      <c r="H947" s="89" t="s">
        <v>434</v>
      </c>
      <c r="I947" s="89" t="s">
        <v>435</v>
      </c>
      <c r="J947" s="89" t="s">
        <v>436</v>
      </c>
      <c r="K947" s="89" t="s">
        <v>6016</v>
      </c>
    </row>
    <row r="948" spans="1:11" ht="57" x14ac:dyDescent="0.25">
      <c r="A948" s="88">
        <v>108</v>
      </c>
      <c r="B948" s="89" t="s">
        <v>437</v>
      </c>
      <c r="C948" s="88" t="s">
        <v>0</v>
      </c>
      <c r="D948" s="89"/>
      <c r="E948" s="91">
        <v>67501</v>
      </c>
      <c r="F948" s="88">
        <v>4</v>
      </c>
      <c r="G948" s="89" t="s">
        <v>438</v>
      </c>
      <c r="H948" s="89" t="s">
        <v>392</v>
      </c>
      <c r="I948" s="89" t="s">
        <v>66</v>
      </c>
      <c r="J948" s="89" t="s">
        <v>125</v>
      </c>
      <c r="K948" s="89" t="s">
        <v>6622</v>
      </c>
    </row>
    <row r="949" spans="1:11" ht="57" x14ac:dyDescent="0.25">
      <c r="A949" s="88">
        <v>108</v>
      </c>
      <c r="B949" s="89" t="s">
        <v>2233</v>
      </c>
      <c r="C949" s="88" t="s">
        <v>0</v>
      </c>
      <c r="D949" s="89"/>
      <c r="E949" s="91">
        <v>85026</v>
      </c>
      <c r="F949" s="88">
        <v>4</v>
      </c>
      <c r="G949" s="89" t="s">
        <v>2234</v>
      </c>
      <c r="H949" s="89" t="s">
        <v>2235</v>
      </c>
      <c r="I949" s="89" t="s">
        <v>242</v>
      </c>
      <c r="J949" s="89" t="s">
        <v>2236</v>
      </c>
      <c r="K949" s="89" t="s">
        <v>6621</v>
      </c>
    </row>
    <row r="950" spans="1:11" ht="85.5" x14ac:dyDescent="0.25">
      <c r="A950" s="88">
        <v>108</v>
      </c>
      <c r="B950" s="89" t="s">
        <v>1128</v>
      </c>
      <c r="C950" s="88" t="s">
        <v>0</v>
      </c>
      <c r="D950" s="89"/>
      <c r="E950" s="91">
        <v>104182</v>
      </c>
      <c r="F950" s="88">
        <v>4</v>
      </c>
      <c r="G950" s="89" t="s">
        <v>2230</v>
      </c>
      <c r="H950" s="89" t="s">
        <v>2003</v>
      </c>
      <c r="I950" s="89" t="s">
        <v>2231</v>
      </c>
      <c r="J950" s="89" t="s">
        <v>2232</v>
      </c>
      <c r="K950" s="89" t="s">
        <v>6620</v>
      </c>
    </row>
    <row r="951" spans="1:11" ht="85.5" x14ac:dyDescent="0.25">
      <c r="A951" s="88">
        <v>108</v>
      </c>
      <c r="B951" s="89" t="s">
        <v>444</v>
      </c>
      <c r="C951" s="88" t="s">
        <v>0</v>
      </c>
      <c r="D951" s="89"/>
      <c r="E951" s="91">
        <v>95092</v>
      </c>
      <c r="F951" s="88">
        <v>4</v>
      </c>
      <c r="G951" s="89" t="s">
        <v>445</v>
      </c>
      <c r="H951" s="89" t="s">
        <v>446</v>
      </c>
      <c r="I951" s="89" t="s">
        <v>32</v>
      </c>
      <c r="J951" s="89" t="s">
        <v>44</v>
      </c>
      <c r="K951" s="89" t="s">
        <v>6619</v>
      </c>
    </row>
    <row r="952" spans="1:11" ht="85.5" x14ac:dyDescent="0.25">
      <c r="A952" s="88">
        <v>108</v>
      </c>
      <c r="B952" s="89" t="s">
        <v>1128</v>
      </c>
      <c r="C952" s="88" t="s">
        <v>0</v>
      </c>
      <c r="D952" s="89"/>
      <c r="E952" s="91">
        <v>130773</v>
      </c>
      <c r="F952" s="88">
        <v>4</v>
      </c>
      <c r="G952" s="89" t="s">
        <v>2227</v>
      </c>
      <c r="H952" s="89" t="s">
        <v>2228</v>
      </c>
      <c r="I952" s="89" t="s">
        <v>17</v>
      </c>
      <c r="J952" s="89" t="s">
        <v>2229</v>
      </c>
      <c r="K952" s="89" t="s">
        <v>6618</v>
      </c>
    </row>
    <row r="953" spans="1:11" ht="42.75" x14ac:dyDescent="0.25">
      <c r="A953" s="88">
        <v>108</v>
      </c>
      <c r="B953" s="89" t="s">
        <v>2247</v>
      </c>
      <c r="C953" s="88" t="s">
        <v>0</v>
      </c>
      <c r="D953" s="89"/>
      <c r="E953" s="91">
        <v>27733</v>
      </c>
      <c r="F953" s="88">
        <v>4</v>
      </c>
      <c r="G953" s="89" t="s">
        <v>2248</v>
      </c>
      <c r="H953" s="89" t="s">
        <v>2249</v>
      </c>
      <c r="I953" s="89" t="s">
        <v>66</v>
      </c>
      <c r="J953" s="89" t="s">
        <v>717</v>
      </c>
      <c r="K953" s="25" t="s">
        <v>6623</v>
      </c>
    </row>
    <row r="954" spans="1:11" ht="71.25" x14ac:dyDescent="0.25">
      <c r="A954" s="88">
        <v>108</v>
      </c>
      <c r="B954" s="89" t="s">
        <v>2223</v>
      </c>
      <c r="C954" s="88" t="s">
        <v>0</v>
      </c>
      <c r="D954" s="89"/>
      <c r="E954" s="91">
        <v>60000</v>
      </c>
      <c r="F954" s="88">
        <v>4</v>
      </c>
      <c r="G954" s="89" t="s">
        <v>2224</v>
      </c>
      <c r="H954" s="89" t="s">
        <v>2225</v>
      </c>
      <c r="I954" s="89" t="s">
        <v>32</v>
      </c>
      <c r="J954" s="89" t="s">
        <v>2226</v>
      </c>
      <c r="K954" s="89" t="str">
        <f>"00049078"</f>
        <v>00049078</v>
      </c>
    </row>
    <row r="955" spans="1:11" ht="42.75" x14ac:dyDescent="0.25">
      <c r="A955" s="88">
        <v>108</v>
      </c>
      <c r="B955" s="89" t="s">
        <v>2237</v>
      </c>
      <c r="C955" s="88" t="s">
        <v>0</v>
      </c>
      <c r="D955" s="89"/>
      <c r="E955" s="91">
        <v>103327</v>
      </c>
      <c r="F955" s="88">
        <v>4</v>
      </c>
      <c r="G955" s="89" t="s">
        <v>2241</v>
      </c>
      <c r="H955" s="89" t="s">
        <v>2242</v>
      </c>
      <c r="I955" s="89" t="s">
        <v>2243</v>
      </c>
      <c r="J955" s="89" t="s">
        <v>2243</v>
      </c>
      <c r="K955" s="89" t="str">
        <f>"00049100"</f>
        <v>00049100</v>
      </c>
    </row>
    <row r="956" spans="1:11" ht="57" x14ac:dyDescent="0.25">
      <c r="A956" s="88">
        <v>108</v>
      </c>
      <c r="B956" s="89" t="s">
        <v>2237</v>
      </c>
      <c r="C956" s="88" t="s">
        <v>0</v>
      </c>
      <c r="D956" s="89"/>
      <c r="E956" s="91">
        <v>106963</v>
      </c>
      <c r="F956" s="88">
        <v>4</v>
      </c>
      <c r="G956" s="89" t="s">
        <v>2238</v>
      </c>
      <c r="H956" s="89" t="s">
        <v>2239</v>
      </c>
      <c r="I956" s="89" t="s">
        <v>106</v>
      </c>
      <c r="J956" s="89" t="s">
        <v>2240</v>
      </c>
      <c r="K956" s="89" t="s">
        <v>5906</v>
      </c>
    </row>
    <row r="957" spans="1:11" ht="42.75" x14ac:dyDescent="0.25">
      <c r="A957" s="88">
        <v>108</v>
      </c>
      <c r="B957" s="89" t="s">
        <v>2244</v>
      </c>
      <c r="C957" s="88" t="s">
        <v>0</v>
      </c>
      <c r="D957" s="89"/>
      <c r="E957" s="91">
        <v>26688</v>
      </c>
      <c r="F957" s="88">
        <v>4</v>
      </c>
      <c r="G957" s="89" t="s">
        <v>2245</v>
      </c>
      <c r="H957" s="89" t="s">
        <v>2246</v>
      </c>
      <c r="I957" s="89" t="s">
        <v>80</v>
      </c>
      <c r="J957" s="89" t="s">
        <v>80</v>
      </c>
      <c r="K957" s="89" t="str">
        <f>"00050484"</f>
        <v>00050484</v>
      </c>
    </row>
    <row r="958" spans="1:11" ht="71.25" x14ac:dyDescent="0.25">
      <c r="A958" s="88">
        <v>108</v>
      </c>
      <c r="B958" s="89" t="s">
        <v>2220</v>
      </c>
      <c r="C958" s="88" t="s">
        <v>0</v>
      </c>
      <c r="D958" s="89"/>
      <c r="E958" s="91">
        <v>89863</v>
      </c>
      <c r="F958" s="88">
        <v>4</v>
      </c>
      <c r="G958" s="89" t="s">
        <v>2221</v>
      </c>
      <c r="H958" s="89" t="s">
        <v>2222</v>
      </c>
      <c r="I958" s="89" t="s">
        <v>787</v>
      </c>
      <c r="J958" s="89" t="s">
        <v>788</v>
      </c>
      <c r="K958" s="89" t="s">
        <v>6388</v>
      </c>
    </row>
    <row r="959" spans="1:11" ht="71.25" x14ac:dyDescent="0.25">
      <c r="A959" s="88">
        <v>108</v>
      </c>
      <c r="B959" s="89" t="s">
        <v>1121</v>
      </c>
      <c r="C959" s="88" t="s">
        <v>0</v>
      </c>
      <c r="D959" s="89"/>
      <c r="E959" s="91">
        <v>27431</v>
      </c>
      <c r="F959" s="88">
        <v>4</v>
      </c>
      <c r="G959" s="89" t="s">
        <v>2250</v>
      </c>
      <c r="H959" s="89" t="s">
        <v>2251</v>
      </c>
      <c r="I959" s="89" t="s">
        <v>32</v>
      </c>
      <c r="J959" s="89" t="s">
        <v>2252</v>
      </c>
      <c r="K959" s="89" t="s">
        <v>6389</v>
      </c>
    </row>
    <row r="960" spans="1:11" ht="57" x14ac:dyDescent="0.25">
      <c r="A960" s="88">
        <v>108</v>
      </c>
      <c r="B960" s="89" t="s">
        <v>901</v>
      </c>
      <c r="C960" s="88" t="s">
        <v>0</v>
      </c>
      <c r="D960" s="89"/>
      <c r="E960" s="91">
        <v>26724</v>
      </c>
      <c r="F960" s="88">
        <v>4</v>
      </c>
      <c r="G960" s="89" t="s">
        <v>4339</v>
      </c>
      <c r="H960" s="89" t="s">
        <v>392</v>
      </c>
      <c r="I960" s="89" t="s">
        <v>66</v>
      </c>
      <c r="J960" s="89" t="s">
        <v>125</v>
      </c>
      <c r="K960" s="89" t="str">
        <f>"00047721"</f>
        <v>00047721</v>
      </c>
    </row>
    <row r="961" spans="1:11" ht="85.5" x14ac:dyDescent="0.25">
      <c r="A961" s="88">
        <v>108</v>
      </c>
      <c r="B961" s="89" t="s">
        <v>4327</v>
      </c>
      <c r="C961" s="88" t="s">
        <v>0</v>
      </c>
      <c r="D961" s="89"/>
      <c r="E961" s="91">
        <v>78146</v>
      </c>
      <c r="F961" s="88">
        <v>4</v>
      </c>
      <c r="G961" s="89" t="s">
        <v>4327</v>
      </c>
      <c r="H961" s="89" t="s">
        <v>3969</v>
      </c>
      <c r="I961" s="89" t="s">
        <v>66</v>
      </c>
      <c r="J961" s="89" t="s">
        <v>4328</v>
      </c>
      <c r="K961" s="89" t="str">
        <f>"00046946"</f>
        <v>00046946</v>
      </c>
    </row>
    <row r="962" spans="1:11" ht="42.75" x14ac:dyDescent="0.25">
      <c r="A962" s="88">
        <v>108</v>
      </c>
      <c r="B962" s="89" t="s">
        <v>4466</v>
      </c>
      <c r="C962" s="88" t="s">
        <v>0</v>
      </c>
      <c r="D962" s="89"/>
      <c r="E962" s="91">
        <v>37579</v>
      </c>
      <c r="F962" s="88">
        <v>4</v>
      </c>
      <c r="G962" s="89" t="s">
        <v>4466</v>
      </c>
      <c r="H962" s="89" t="s">
        <v>4467</v>
      </c>
      <c r="I962" s="89" t="s">
        <v>66</v>
      </c>
      <c r="J962" s="89" t="s">
        <v>332</v>
      </c>
      <c r="K962" s="89" t="str">
        <f>"00048496"</f>
        <v>00048496</v>
      </c>
    </row>
    <row r="963" spans="1:11" ht="71.25" x14ac:dyDescent="0.25">
      <c r="A963" s="88">
        <v>108</v>
      </c>
      <c r="B963" s="89" t="s">
        <v>4382</v>
      </c>
      <c r="C963" s="88" t="s">
        <v>0</v>
      </c>
      <c r="D963" s="89"/>
      <c r="E963" s="91">
        <v>36717</v>
      </c>
      <c r="F963" s="88">
        <v>4</v>
      </c>
      <c r="G963" s="89" t="s">
        <v>4383</v>
      </c>
      <c r="H963" s="89" t="s">
        <v>4377</v>
      </c>
      <c r="I963" s="89" t="s">
        <v>66</v>
      </c>
      <c r="J963" s="89" t="s">
        <v>717</v>
      </c>
      <c r="K963" s="89" t="str">
        <f>"00052577"</f>
        <v>00052577</v>
      </c>
    </row>
    <row r="964" spans="1:11" ht="57" x14ac:dyDescent="0.25">
      <c r="A964" s="88">
        <v>108</v>
      </c>
      <c r="B964" s="89" t="s">
        <v>4283</v>
      </c>
      <c r="C964" s="88" t="s">
        <v>0</v>
      </c>
      <c r="D964" s="89"/>
      <c r="E964" s="91">
        <v>46287</v>
      </c>
      <c r="F964" s="88">
        <v>4</v>
      </c>
      <c r="G964" s="89" t="s">
        <v>4445</v>
      </c>
      <c r="H964" s="89" t="s">
        <v>4446</v>
      </c>
      <c r="I964" s="89" t="s">
        <v>32</v>
      </c>
      <c r="J964" s="89" t="s">
        <v>262</v>
      </c>
      <c r="K964" s="89" t="str">
        <f>"00048600"</f>
        <v>00048600</v>
      </c>
    </row>
    <row r="965" spans="1:11" ht="42.75" x14ac:dyDescent="0.25">
      <c r="A965" s="88">
        <v>108</v>
      </c>
      <c r="B965" s="89" t="s">
        <v>4522</v>
      </c>
      <c r="C965" s="88" t="s">
        <v>0</v>
      </c>
      <c r="D965" s="89"/>
      <c r="E965" s="91">
        <v>71127</v>
      </c>
      <c r="F965" s="88">
        <v>4</v>
      </c>
      <c r="G965" s="89" t="s">
        <v>4522</v>
      </c>
      <c r="H965" s="89" t="s">
        <v>4523</v>
      </c>
      <c r="I965" s="89" t="s">
        <v>32</v>
      </c>
      <c r="J965" s="89" t="s">
        <v>4524</v>
      </c>
      <c r="K965" s="89" t="str">
        <f>"00051340"</f>
        <v>00051340</v>
      </c>
    </row>
    <row r="966" spans="1:11" ht="71.25" x14ac:dyDescent="0.25">
      <c r="A966" s="88">
        <v>108</v>
      </c>
      <c r="B966" s="89" t="s">
        <v>4434</v>
      </c>
      <c r="C966" s="88" t="s">
        <v>0</v>
      </c>
      <c r="D966" s="89"/>
      <c r="E966" s="91">
        <v>33669</v>
      </c>
      <c r="F966" s="88">
        <v>4</v>
      </c>
      <c r="G966" s="89" t="s">
        <v>4435</v>
      </c>
      <c r="H966" s="89" t="s">
        <v>4436</v>
      </c>
      <c r="I966" s="89" t="s">
        <v>17</v>
      </c>
      <c r="J966" s="89" t="s">
        <v>2440</v>
      </c>
      <c r="K966" s="89" t="str">
        <f>"00049307"</f>
        <v>00049307</v>
      </c>
    </row>
    <row r="967" spans="1:11" ht="42.75" x14ac:dyDescent="0.25">
      <c r="A967" s="88">
        <v>108</v>
      </c>
      <c r="B967" s="89" t="s">
        <v>4437</v>
      </c>
      <c r="C967" s="88" t="s">
        <v>0</v>
      </c>
      <c r="D967" s="89"/>
      <c r="E967" s="91">
        <v>37599</v>
      </c>
      <c r="F967" s="88">
        <v>4</v>
      </c>
      <c r="G967" s="89" t="s">
        <v>2241</v>
      </c>
      <c r="H967" s="89" t="s">
        <v>2242</v>
      </c>
      <c r="I967" s="89" t="s">
        <v>2243</v>
      </c>
      <c r="J967" s="89" t="s">
        <v>2243</v>
      </c>
      <c r="K967" s="89" t="str">
        <f>"00049100"</f>
        <v>00049100</v>
      </c>
    </row>
    <row r="968" spans="1:11" ht="28.5" x14ac:dyDescent="0.25">
      <c r="A968" s="88">
        <v>108</v>
      </c>
      <c r="B968" s="89" t="s">
        <v>26</v>
      </c>
      <c r="C968" s="88" t="s">
        <v>0</v>
      </c>
      <c r="D968" s="94">
        <v>200000</v>
      </c>
      <c r="E968" s="32"/>
      <c r="F968" s="88">
        <v>4</v>
      </c>
      <c r="G968" s="89" t="s">
        <v>29</v>
      </c>
      <c r="H968" s="89"/>
      <c r="I968" s="88" t="s">
        <v>14</v>
      </c>
      <c r="J968" s="88"/>
      <c r="K968" s="89" t="str">
        <f>"　"</f>
        <v>　</v>
      </c>
    </row>
    <row r="969" spans="1:11" ht="42.75" x14ac:dyDescent="0.25">
      <c r="A969" s="88">
        <v>108</v>
      </c>
      <c r="B969" s="89" t="s">
        <v>26</v>
      </c>
      <c r="C969" s="88" t="s">
        <v>0</v>
      </c>
      <c r="D969" s="89"/>
      <c r="E969" s="91">
        <v>116462</v>
      </c>
      <c r="F969" s="88">
        <v>4</v>
      </c>
      <c r="G969" s="89" t="s">
        <v>3287</v>
      </c>
      <c r="H969" s="89" t="s">
        <v>3288</v>
      </c>
      <c r="I969" s="89" t="s">
        <v>94</v>
      </c>
      <c r="J969" s="89" t="s">
        <v>355</v>
      </c>
      <c r="K969" s="89" t="str">
        <f>"00050573"</f>
        <v>00050573</v>
      </c>
    </row>
    <row r="970" spans="1:11" ht="42.75" x14ac:dyDescent="0.25">
      <c r="A970" s="88">
        <v>108</v>
      </c>
      <c r="B970" s="89" t="s">
        <v>26</v>
      </c>
      <c r="C970" s="88" t="s">
        <v>0</v>
      </c>
      <c r="D970" s="89"/>
      <c r="E970" s="91">
        <v>83000</v>
      </c>
      <c r="F970" s="88">
        <v>4</v>
      </c>
      <c r="G970" s="89" t="s">
        <v>3289</v>
      </c>
      <c r="H970" s="89" t="s">
        <v>3290</v>
      </c>
      <c r="I970" s="89" t="s">
        <v>242</v>
      </c>
      <c r="J970" s="89" t="s">
        <v>2236</v>
      </c>
      <c r="K970" s="89" t="str">
        <f>"00051508"</f>
        <v>00051508</v>
      </c>
    </row>
    <row r="971" spans="1:11" ht="28.5" x14ac:dyDescent="0.25">
      <c r="A971" s="88">
        <v>108</v>
      </c>
      <c r="B971" s="89" t="s">
        <v>12</v>
      </c>
      <c r="C971" s="88" t="s">
        <v>0</v>
      </c>
      <c r="D971" s="91">
        <v>75400000</v>
      </c>
      <c r="E971" s="32"/>
      <c r="F971" s="88">
        <v>4</v>
      </c>
      <c r="G971" s="89" t="s">
        <v>52</v>
      </c>
      <c r="H971" s="89"/>
      <c r="I971" s="89" t="s">
        <v>53</v>
      </c>
      <c r="J971" s="89"/>
      <c r="K971" s="89" t="str">
        <f>"　"</f>
        <v>　</v>
      </c>
    </row>
    <row r="972" spans="1:11" ht="114" x14ac:dyDescent="0.25">
      <c r="A972" s="88">
        <v>108</v>
      </c>
      <c r="B972" s="89" t="s">
        <v>2262</v>
      </c>
      <c r="C972" s="88" t="s">
        <v>0</v>
      </c>
      <c r="D972" s="89"/>
      <c r="E972" s="91">
        <v>57433</v>
      </c>
      <c r="F972" s="88">
        <v>4</v>
      </c>
      <c r="G972" s="89" t="s">
        <v>6005</v>
      </c>
      <c r="H972" s="89" t="s">
        <v>2263</v>
      </c>
      <c r="I972" s="89" t="s">
        <v>32</v>
      </c>
      <c r="J972" s="89" t="s">
        <v>2264</v>
      </c>
      <c r="K972" s="89" t="str">
        <f>"00047726"</f>
        <v>00047726</v>
      </c>
    </row>
    <row r="973" spans="1:11" ht="71.25" x14ac:dyDescent="0.25">
      <c r="A973" s="88">
        <v>108</v>
      </c>
      <c r="B973" s="89" t="s">
        <v>2253</v>
      </c>
      <c r="C973" s="88" t="s">
        <v>0</v>
      </c>
      <c r="D973" s="89"/>
      <c r="E973" s="91">
        <v>24786</v>
      </c>
      <c r="F973" s="88">
        <v>4</v>
      </c>
      <c r="G973" s="89" t="s">
        <v>2265</v>
      </c>
      <c r="H973" s="89" t="s">
        <v>1130</v>
      </c>
      <c r="I973" s="89" t="s">
        <v>32</v>
      </c>
      <c r="J973" s="89" t="s">
        <v>294</v>
      </c>
      <c r="K973" s="89" t="str">
        <f>"00047978"</f>
        <v>00047978</v>
      </c>
    </row>
    <row r="974" spans="1:11" ht="57" x14ac:dyDescent="0.25">
      <c r="A974" s="88">
        <v>108</v>
      </c>
      <c r="B974" s="89" t="s">
        <v>2259</v>
      </c>
      <c r="C974" s="88" t="s">
        <v>0</v>
      </c>
      <c r="D974" s="89"/>
      <c r="E974" s="91">
        <v>33257</v>
      </c>
      <c r="F974" s="88">
        <v>4</v>
      </c>
      <c r="G974" s="89" t="s">
        <v>6390</v>
      </c>
      <c r="H974" s="89" t="s">
        <v>2260</v>
      </c>
      <c r="I974" s="89" t="s">
        <v>152</v>
      </c>
      <c r="J974" s="89" t="s">
        <v>2261</v>
      </c>
      <c r="K974" s="25" t="s">
        <v>6617</v>
      </c>
    </row>
    <row r="975" spans="1:11" ht="57" x14ac:dyDescent="0.25">
      <c r="A975" s="88">
        <v>108</v>
      </c>
      <c r="B975" s="89" t="s">
        <v>2255</v>
      </c>
      <c r="C975" s="88" t="s">
        <v>0</v>
      </c>
      <c r="D975" s="89"/>
      <c r="E975" s="91">
        <v>69429</v>
      </c>
      <c r="F975" s="88">
        <v>4</v>
      </c>
      <c r="G975" s="89" t="s">
        <v>2256</v>
      </c>
      <c r="H975" s="89" t="s">
        <v>2257</v>
      </c>
      <c r="I975" s="89" t="s">
        <v>763</v>
      </c>
      <c r="J975" s="89" t="s">
        <v>2258</v>
      </c>
      <c r="K975" s="89" t="str">
        <f>"00048192"</f>
        <v>00048192</v>
      </c>
    </row>
    <row r="976" spans="1:11" ht="57" x14ac:dyDescent="0.25">
      <c r="A976" s="88">
        <v>108</v>
      </c>
      <c r="B976" s="89" t="s">
        <v>2255</v>
      </c>
      <c r="C976" s="88" t="s">
        <v>0</v>
      </c>
      <c r="D976" s="89"/>
      <c r="E976" s="91">
        <v>53254</v>
      </c>
      <c r="F976" s="88">
        <v>4</v>
      </c>
      <c r="G976" s="89" t="s">
        <v>6391</v>
      </c>
      <c r="H976" s="89" t="s">
        <v>2266</v>
      </c>
      <c r="I976" s="89" t="s">
        <v>66</v>
      </c>
      <c r="J976" s="89" t="s">
        <v>99</v>
      </c>
      <c r="K976" s="89" t="s">
        <v>6616</v>
      </c>
    </row>
    <row r="977" spans="1:11" ht="42.75" x14ac:dyDescent="0.25">
      <c r="A977" s="88">
        <v>108</v>
      </c>
      <c r="B977" s="89" t="s">
        <v>2253</v>
      </c>
      <c r="C977" s="88" t="s">
        <v>0</v>
      </c>
      <c r="D977" s="89"/>
      <c r="E977" s="91">
        <v>35880</v>
      </c>
      <c r="F977" s="88">
        <v>4</v>
      </c>
      <c r="G977" s="89" t="s">
        <v>6392</v>
      </c>
      <c r="H977" s="89" t="s">
        <v>2254</v>
      </c>
      <c r="I977" s="89" t="s">
        <v>94</v>
      </c>
      <c r="J977" s="89" t="s">
        <v>355</v>
      </c>
      <c r="K977" s="89" t="s">
        <v>6615</v>
      </c>
    </row>
    <row r="978" spans="1:11" ht="42.75" x14ac:dyDescent="0.25">
      <c r="A978" s="88">
        <v>108</v>
      </c>
      <c r="B978" s="89" t="s">
        <v>4362</v>
      </c>
      <c r="C978" s="88" t="s">
        <v>0</v>
      </c>
      <c r="D978" s="89"/>
      <c r="E978" s="91">
        <v>1500</v>
      </c>
      <c r="F978" s="88">
        <v>4</v>
      </c>
      <c r="G978" s="89" t="s">
        <v>4362</v>
      </c>
      <c r="H978" s="89" t="s">
        <v>4363</v>
      </c>
      <c r="I978" s="89" t="s">
        <v>71</v>
      </c>
      <c r="J978" s="89" t="s">
        <v>4282</v>
      </c>
      <c r="K978" s="89" t="str">
        <f>"00052206"</f>
        <v>00052206</v>
      </c>
    </row>
    <row r="979" spans="1:11" ht="42.75" x14ac:dyDescent="0.25">
      <c r="A979" s="88">
        <v>108</v>
      </c>
      <c r="B979" s="89" t="s">
        <v>4541</v>
      </c>
      <c r="C979" s="88" t="s">
        <v>0</v>
      </c>
      <c r="D979" s="89"/>
      <c r="E979" s="91">
        <v>13439</v>
      </c>
      <c r="F979" s="88">
        <v>4</v>
      </c>
      <c r="G979" s="89" t="s">
        <v>4541</v>
      </c>
      <c r="H979" s="89" t="s">
        <v>4542</v>
      </c>
      <c r="I979" s="89" t="s">
        <v>237</v>
      </c>
      <c r="J979" s="89" t="s">
        <v>3015</v>
      </c>
      <c r="K979" s="89" t="str">
        <f>"00049476"</f>
        <v>00049476</v>
      </c>
    </row>
    <row r="980" spans="1:11" ht="28.5" x14ac:dyDescent="0.25">
      <c r="A980" s="88">
        <v>108</v>
      </c>
      <c r="B980" s="89" t="s">
        <v>12</v>
      </c>
      <c r="C980" s="88" t="s">
        <v>0</v>
      </c>
      <c r="D980" s="91">
        <v>75400000</v>
      </c>
      <c r="E980" s="32"/>
      <c r="F980" s="88">
        <v>4</v>
      </c>
      <c r="G980" s="89" t="s">
        <v>52</v>
      </c>
      <c r="H980" s="89"/>
      <c r="I980" s="89" t="s">
        <v>53</v>
      </c>
      <c r="J980" s="89"/>
      <c r="K980" s="89" t="str">
        <f>"　"</f>
        <v>　</v>
      </c>
    </row>
    <row r="981" spans="1:11" ht="57" x14ac:dyDescent="0.25">
      <c r="A981" s="88">
        <v>108</v>
      </c>
      <c r="B981" s="89" t="s">
        <v>593</v>
      </c>
      <c r="C981" s="88" t="s">
        <v>0</v>
      </c>
      <c r="D981" s="89"/>
      <c r="E981" s="91">
        <v>86147</v>
      </c>
      <c r="F981" s="88">
        <v>4</v>
      </c>
      <c r="G981" s="89" t="s">
        <v>594</v>
      </c>
      <c r="H981" s="89" t="s">
        <v>595</v>
      </c>
      <c r="I981" s="89" t="s">
        <v>185</v>
      </c>
      <c r="J981" s="89" t="s">
        <v>596</v>
      </c>
      <c r="K981" s="89" t="str">
        <f>"00048032"</f>
        <v>00048032</v>
      </c>
    </row>
    <row r="982" spans="1:11" ht="42.75" x14ac:dyDescent="0.25">
      <c r="A982" s="88">
        <v>108</v>
      </c>
      <c r="B982" s="89" t="s">
        <v>2710</v>
      </c>
      <c r="C982" s="88" t="s">
        <v>0</v>
      </c>
      <c r="D982" s="89"/>
      <c r="E982" s="91">
        <v>75298</v>
      </c>
      <c r="F982" s="88">
        <v>4</v>
      </c>
      <c r="G982" s="89" t="s">
        <v>2711</v>
      </c>
      <c r="H982" s="89" t="s">
        <v>2712</v>
      </c>
      <c r="I982" s="89" t="s">
        <v>66</v>
      </c>
      <c r="J982" s="89" t="s">
        <v>125</v>
      </c>
      <c r="K982" s="89" t="str">
        <f>"00049480"</f>
        <v>00049480</v>
      </c>
    </row>
    <row r="983" spans="1:11" ht="99.75" x14ac:dyDescent="0.25">
      <c r="A983" s="88">
        <v>108</v>
      </c>
      <c r="B983" s="89" t="s">
        <v>2701</v>
      </c>
      <c r="C983" s="88" t="s">
        <v>0</v>
      </c>
      <c r="D983" s="89"/>
      <c r="E983" s="91">
        <v>89407</v>
      </c>
      <c r="F983" s="88">
        <v>4</v>
      </c>
      <c r="G983" s="89" t="s">
        <v>2702</v>
      </c>
      <c r="H983" s="89" t="s">
        <v>2703</v>
      </c>
      <c r="I983" s="89" t="s">
        <v>2704</v>
      </c>
      <c r="J983" s="89" t="s">
        <v>2705</v>
      </c>
      <c r="K983" s="89" t="s">
        <v>6393</v>
      </c>
    </row>
    <row r="984" spans="1:11" ht="85.5" x14ac:dyDescent="0.25">
      <c r="A984" s="88">
        <v>108</v>
      </c>
      <c r="B984" s="89" t="s">
        <v>2706</v>
      </c>
      <c r="C984" s="88" t="s">
        <v>0</v>
      </c>
      <c r="D984" s="89"/>
      <c r="E984" s="91">
        <v>42268</v>
      </c>
      <c r="F984" s="88">
        <v>4</v>
      </c>
      <c r="G984" s="89" t="s">
        <v>2707</v>
      </c>
      <c r="H984" s="89" t="s">
        <v>2708</v>
      </c>
      <c r="I984" s="89" t="s">
        <v>32</v>
      </c>
      <c r="J984" s="89" t="s">
        <v>2709</v>
      </c>
      <c r="K984" s="89" t="s">
        <v>6394</v>
      </c>
    </row>
    <row r="985" spans="1:11" ht="128.25" x14ac:dyDescent="0.25">
      <c r="A985" s="88">
        <v>108</v>
      </c>
      <c r="B985" s="89" t="s">
        <v>2713</v>
      </c>
      <c r="C985" s="88" t="s">
        <v>0</v>
      </c>
      <c r="D985" s="89"/>
      <c r="E985" s="91">
        <v>106939</v>
      </c>
      <c r="F985" s="88">
        <v>4</v>
      </c>
      <c r="G985" s="89" t="s">
        <v>2714</v>
      </c>
      <c r="H985" s="89" t="s">
        <v>2715</v>
      </c>
      <c r="I985" s="89" t="s">
        <v>32</v>
      </c>
      <c r="J985" s="89" t="s">
        <v>2716</v>
      </c>
      <c r="K985" s="89" t="str">
        <f>"00050150"</f>
        <v>00050150</v>
      </c>
    </row>
    <row r="986" spans="1:11" ht="28.5" x14ac:dyDescent="0.25">
      <c r="A986" s="88">
        <v>108</v>
      </c>
      <c r="B986" s="89" t="s">
        <v>12</v>
      </c>
      <c r="C986" s="88" t="s">
        <v>0</v>
      </c>
      <c r="D986" s="91">
        <v>75400000</v>
      </c>
      <c r="E986" s="32"/>
      <c r="F986" s="88">
        <v>4</v>
      </c>
      <c r="G986" s="89" t="s">
        <v>52</v>
      </c>
      <c r="H986" s="89"/>
      <c r="I986" s="89" t="s">
        <v>53</v>
      </c>
      <c r="J986" s="89"/>
      <c r="K986" s="89" t="str">
        <f>"　"</f>
        <v>　</v>
      </c>
    </row>
    <row r="987" spans="1:11" ht="114" x14ac:dyDescent="0.25">
      <c r="A987" s="79">
        <v>108</v>
      </c>
      <c r="B987" s="89" t="s">
        <v>5432</v>
      </c>
      <c r="C987" s="88" t="s">
        <v>0</v>
      </c>
      <c r="D987" s="89"/>
      <c r="E987" s="53">
        <v>40000</v>
      </c>
      <c r="F987" s="88">
        <v>4</v>
      </c>
      <c r="G987" s="89" t="s">
        <v>5433</v>
      </c>
      <c r="H987" s="89" t="s">
        <v>5434</v>
      </c>
      <c r="I987" s="89" t="s">
        <v>66</v>
      </c>
      <c r="J987" s="89" t="s">
        <v>99</v>
      </c>
      <c r="K987" s="105" t="s">
        <v>5907</v>
      </c>
    </row>
    <row r="988" spans="1:11" ht="99.75" x14ac:dyDescent="0.25">
      <c r="A988" s="88">
        <v>108</v>
      </c>
      <c r="B988" s="89" t="s">
        <v>4332</v>
      </c>
      <c r="C988" s="88" t="s">
        <v>0</v>
      </c>
      <c r="D988" s="89"/>
      <c r="E988" s="91">
        <v>1860</v>
      </c>
      <c r="F988" s="88">
        <v>4</v>
      </c>
      <c r="G988" s="89" t="s">
        <v>4333</v>
      </c>
      <c r="H988" s="89" t="s">
        <v>4334</v>
      </c>
      <c r="I988" s="89" t="s">
        <v>32</v>
      </c>
      <c r="J988" s="89" t="s">
        <v>4335</v>
      </c>
      <c r="K988" s="89" t="str">
        <f>"00047918"</f>
        <v>00047918</v>
      </c>
    </row>
    <row r="989" spans="1:11" ht="28.5" x14ac:dyDescent="0.25">
      <c r="A989" s="88">
        <v>108</v>
      </c>
      <c r="B989" s="89" t="s">
        <v>12</v>
      </c>
      <c r="C989" s="88" t="s">
        <v>0</v>
      </c>
      <c r="D989" s="94">
        <v>165000</v>
      </c>
      <c r="E989" s="32"/>
      <c r="F989" s="88">
        <v>4</v>
      </c>
      <c r="G989" s="89" t="s">
        <v>825</v>
      </c>
      <c r="H989" s="89"/>
      <c r="I989" s="89" t="s">
        <v>14</v>
      </c>
      <c r="J989" s="89"/>
      <c r="K989" s="89" t="str">
        <f>"　"</f>
        <v>　</v>
      </c>
    </row>
    <row r="990" spans="1:11" ht="85.5" x14ac:dyDescent="0.25">
      <c r="A990" s="88">
        <v>108</v>
      </c>
      <c r="B990" s="89" t="s">
        <v>12</v>
      </c>
      <c r="C990" s="88" t="s">
        <v>0</v>
      </c>
      <c r="D990" s="89"/>
      <c r="E990" s="91">
        <v>56395</v>
      </c>
      <c r="F990" s="88">
        <v>4</v>
      </c>
      <c r="G990" s="89" t="s">
        <v>3249</v>
      </c>
      <c r="H990" s="89" t="s">
        <v>3250</v>
      </c>
      <c r="I990" s="89" t="s">
        <v>113</v>
      </c>
      <c r="J990" s="89" t="s">
        <v>177</v>
      </c>
      <c r="K990" s="89" t="str">
        <f>"00049816"</f>
        <v>00049816</v>
      </c>
    </row>
    <row r="991" spans="1:11" ht="85.5" x14ac:dyDescent="0.25">
      <c r="A991" s="88">
        <v>108</v>
      </c>
      <c r="B991" s="89" t="s">
        <v>12</v>
      </c>
      <c r="C991" s="88" t="s">
        <v>0</v>
      </c>
      <c r="D991" s="89"/>
      <c r="E991" s="91">
        <v>70000</v>
      </c>
      <c r="F991" s="88">
        <v>4</v>
      </c>
      <c r="G991" s="89" t="s">
        <v>3246</v>
      </c>
      <c r="H991" s="89" t="s">
        <v>2869</v>
      </c>
      <c r="I991" s="89" t="s">
        <v>32</v>
      </c>
      <c r="J991" s="89" t="s">
        <v>118</v>
      </c>
      <c r="K991" s="89" t="str">
        <f>"00049653"</f>
        <v>00049653</v>
      </c>
    </row>
    <row r="992" spans="1:11" ht="99.75" x14ac:dyDescent="0.25">
      <c r="A992" s="88">
        <v>108</v>
      </c>
      <c r="B992" s="89" t="s">
        <v>12</v>
      </c>
      <c r="C992" s="88" t="s">
        <v>0</v>
      </c>
      <c r="D992" s="89"/>
      <c r="E992" s="91">
        <v>34372</v>
      </c>
      <c r="F992" s="88">
        <v>4</v>
      </c>
      <c r="G992" s="89" t="s">
        <v>3247</v>
      </c>
      <c r="H992" s="89" t="s">
        <v>3248</v>
      </c>
      <c r="I992" s="89" t="s">
        <v>94</v>
      </c>
      <c r="J992" s="89" t="s">
        <v>355</v>
      </c>
      <c r="K992" s="89" t="str">
        <f>"00052083"</f>
        <v>00052083</v>
      </c>
    </row>
    <row r="993" spans="1:11" ht="28.5" x14ac:dyDescent="0.25">
      <c r="A993" s="88">
        <v>108</v>
      </c>
      <c r="B993" s="89" t="s">
        <v>12</v>
      </c>
      <c r="C993" s="88" t="s">
        <v>0</v>
      </c>
      <c r="D993" s="91">
        <v>75400000</v>
      </c>
      <c r="E993" s="32"/>
      <c r="F993" s="88">
        <v>4</v>
      </c>
      <c r="G993" s="89" t="s">
        <v>52</v>
      </c>
      <c r="H993" s="89"/>
      <c r="I993" s="89" t="s">
        <v>53</v>
      </c>
      <c r="J993" s="89"/>
      <c r="K993" s="89" t="str">
        <f>"　"</f>
        <v>　</v>
      </c>
    </row>
    <row r="994" spans="1:11" ht="85.5" x14ac:dyDescent="0.25">
      <c r="A994" s="88">
        <v>108</v>
      </c>
      <c r="B994" s="89" t="s">
        <v>640</v>
      </c>
      <c r="C994" s="88" t="s">
        <v>0</v>
      </c>
      <c r="D994" s="89"/>
      <c r="E994" s="91">
        <v>75812</v>
      </c>
      <c r="F994" s="88">
        <v>4</v>
      </c>
      <c r="G994" s="89" t="s">
        <v>644</v>
      </c>
      <c r="H994" s="89" t="s">
        <v>642</v>
      </c>
      <c r="I994" s="89" t="s">
        <v>61</v>
      </c>
      <c r="J994" s="89" t="s">
        <v>643</v>
      </c>
      <c r="K994" s="89" t="str">
        <f>"00047881"</f>
        <v>00047881</v>
      </c>
    </row>
    <row r="995" spans="1:11" ht="57" x14ac:dyDescent="0.25">
      <c r="A995" s="88">
        <v>108</v>
      </c>
      <c r="B995" s="89" t="s">
        <v>2845</v>
      </c>
      <c r="C995" s="88" t="s">
        <v>0</v>
      </c>
      <c r="D995" s="89"/>
      <c r="E995" s="91">
        <v>87498</v>
      </c>
      <c r="F995" s="88">
        <v>4</v>
      </c>
      <c r="G995" s="89" t="s">
        <v>2846</v>
      </c>
      <c r="H995" s="89" t="s">
        <v>2847</v>
      </c>
      <c r="I995" s="89" t="s">
        <v>32</v>
      </c>
      <c r="J995" s="89" t="s">
        <v>33</v>
      </c>
      <c r="K995" s="89" t="str">
        <f>"00048681"</f>
        <v>00048681</v>
      </c>
    </row>
    <row r="996" spans="1:11" ht="57" x14ac:dyDescent="0.25">
      <c r="A996" s="88">
        <v>108</v>
      </c>
      <c r="B996" s="89" t="s">
        <v>2842</v>
      </c>
      <c r="C996" s="88" t="s">
        <v>0</v>
      </c>
      <c r="D996" s="89"/>
      <c r="E996" s="91">
        <v>72144</v>
      </c>
      <c r="F996" s="88">
        <v>4</v>
      </c>
      <c r="G996" s="89" t="s">
        <v>2843</v>
      </c>
      <c r="H996" s="89" t="s">
        <v>2844</v>
      </c>
      <c r="I996" s="89" t="s">
        <v>209</v>
      </c>
      <c r="J996" s="89" t="s">
        <v>210</v>
      </c>
      <c r="K996" s="89" t="str">
        <f>"00049104"</f>
        <v>00049104</v>
      </c>
    </row>
    <row r="997" spans="1:11" ht="85.5" x14ac:dyDescent="0.25">
      <c r="A997" s="88">
        <v>108</v>
      </c>
      <c r="B997" s="89" t="s">
        <v>2839</v>
      </c>
      <c r="C997" s="88" t="s">
        <v>0</v>
      </c>
      <c r="D997" s="89"/>
      <c r="E997" s="91">
        <v>6038</v>
      </c>
      <c r="F997" s="88">
        <v>4</v>
      </c>
      <c r="G997" s="89" t="s">
        <v>2840</v>
      </c>
      <c r="H997" s="89" t="s">
        <v>2841</v>
      </c>
      <c r="I997" s="89" t="s">
        <v>135</v>
      </c>
      <c r="J997" s="89" t="s">
        <v>1430</v>
      </c>
      <c r="K997" s="89" t="str">
        <f>"00049806"</f>
        <v>00049806</v>
      </c>
    </row>
    <row r="998" spans="1:11" ht="313.5" x14ac:dyDescent="0.25">
      <c r="A998" s="88">
        <v>108</v>
      </c>
      <c r="B998" s="89" t="s">
        <v>2853</v>
      </c>
      <c r="C998" s="88" t="s">
        <v>0</v>
      </c>
      <c r="D998" s="89"/>
      <c r="E998" s="91">
        <v>62825</v>
      </c>
      <c r="F998" s="88">
        <v>4</v>
      </c>
      <c r="G998" s="89" t="s">
        <v>2859</v>
      </c>
      <c r="H998" s="89" t="s">
        <v>2860</v>
      </c>
      <c r="I998" s="89" t="s">
        <v>209</v>
      </c>
      <c r="J998" s="89" t="s">
        <v>2861</v>
      </c>
      <c r="K998" s="89" t="s">
        <v>5908</v>
      </c>
    </row>
    <row r="999" spans="1:11" ht="57" x14ac:dyDescent="0.25">
      <c r="A999" s="88">
        <v>108</v>
      </c>
      <c r="B999" s="89" t="s">
        <v>2834</v>
      </c>
      <c r="C999" s="88" t="s">
        <v>0</v>
      </c>
      <c r="D999" s="89"/>
      <c r="E999" s="91">
        <v>32372</v>
      </c>
      <c r="F999" s="88">
        <v>4</v>
      </c>
      <c r="G999" s="89" t="s">
        <v>2835</v>
      </c>
      <c r="H999" s="89" t="s">
        <v>2836</v>
      </c>
      <c r="I999" s="89" t="s">
        <v>17</v>
      </c>
      <c r="J999" s="89" t="s">
        <v>18</v>
      </c>
      <c r="K999" s="89" t="str">
        <f>"00051125"</f>
        <v>00051125</v>
      </c>
    </row>
    <row r="1000" spans="1:11" ht="99.75" x14ac:dyDescent="0.25">
      <c r="A1000" s="88">
        <v>108</v>
      </c>
      <c r="B1000" s="89" t="s">
        <v>640</v>
      </c>
      <c r="C1000" s="88" t="s">
        <v>0</v>
      </c>
      <c r="D1000" s="89"/>
      <c r="E1000" s="91">
        <v>75812</v>
      </c>
      <c r="F1000" s="88">
        <v>4</v>
      </c>
      <c r="G1000" s="89" t="s">
        <v>641</v>
      </c>
      <c r="H1000" s="89" t="s">
        <v>642</v>
      </c>
      <c r="I1000" s="89" t="s">
        <v>61</v>
      </c>
      <c r="J1000" s="89" t="s">
        <v>643</v>
      </c>
      <c r="K1000" s="89" t="str">
        <f>"00047871"</f>
        <v>00047871</v>
      </c>
    </row>
    <row r="1001" spans="1:11" ht="71.25" x14ac:dyDescent="0.25">
      <c r="A1001" s="88">
        <v>108</v>
      </c>
      <c r="B1001" s="89" t="s">
        <v>2827</v>
      </c>
      <c r="C1001" s="88" t="s">
        <v>0</v>
      </c>
      <c r="D1001" s="89"/>
      <c r="E1001" s="91">
        <v>109796</v>
      </c>
      <c r="F1001" s="88">
        <v>4</v>
      </c>
      <c r="G1001" s="89" t="s">
        <v>2837</v>
      </c>
      <c r="H1001" s="89" t="s">
        <v>1965</v>
      </c>
      <c r="I1001" s="89" t="s">
        <v>135</v>
      </c>
      <c r="J1001" s="89" t="s">
        <v>2838</v>
      </c>
      <c r="K1001" s="89" t="str">
        <f>"00049774"</f>
        <v>00049774</v>
      </c>
    </row>
    <row r="1002" spans="1:11" ht="71.25" x14ac:dyDescent="0.25">
      <c r="A1002" s="88">
        <v>108</v>
      </c>
      <c r="B1002" s="89" t="s">
        <v>2831</v>
      </c>
      <c r="C1002" s="88" t="s">
        <v>0</v>
      </c>
      <c r="D1002" s="89"/>
      <c r="E1002" s="91">
        <v>159149</v>
      </c>
      <c r="F1002" s="88">
        <v>4</v>
      </c>
      <c r="G1002" s="89" t="s">
        <v>2857</v>
      </c>
      <c r="H1002" s="89" t="s">
        <v>2858</v>
      </c>
      <c r="I1002" s="89" t="s">
        <v>32</v>
      </c>
      <c r="J1002" s="89" t="s">
        <v>118</v>
      </c>
      <c r="K1002" s="89" t="str">
        <f>"00049788"</f>
        <v>00049788</v>
      </c>
    </row>
    <row r="1003" spans="1:11" ht="114" x14ac:dyDescent="0.25">
      <c r="A1003" s="88">
        <v>108</v>
      </c>
      <c r="B1003" s="89" t="s">
        <v>2842</v>
      </c>
      <c r="C1003" s="88" t="s">
        <v>0</v>
      </c>
      <c r="D1003" s="89"/>
      <c r="E1003" s="91">
        <v>7845</v>
      </c>
      <c r="F1003" s="88">
        <v>4</v>
      </c>
      <c r="G1003" s="89" t="s">
        <v>2848</v>
      </c>
      <c r="H1003" s="89" t="s">
        <v>2849</v>
      </c>
      <c r="I1003" s="89" t="s">
        <v>32</v>
      </c>
      <c r="J1003" s="89" t="s">
        <v>2850</v>
      </c>
      <c r="K1003" s="89" t="str">
        <f>"00050479"</f>
        <v>00050479</v>
      </c>
    </row>
    <row r="1004" spans="1:11" ht="42.75" x14ac:dyDescent="0.25">
      <c r="A1004" s="88">
        <v>108</v>
      </c>
      <c r="B1004" s="89" t="s">
        <v>2839</v>
      </c>
      <c r="C1004" s="88" t="s">
        <v>0</v>
      </c>
      <c r="D1004" s="89"/>
      <c r="E1004" s="91">
        <v>36572</v>
      </c>
      <c r="F1004" s="88">
        <v>4</v>
      </c>
      <c r="G1004" s="89" t="s">
        <v>2851</v>
      </c>
      <c r="H1004" s="89" t="s">
        <v>2852</v>
      </c>
      <c r="I1004" s="89" t="s">
        <v>66</v>
      </c>
      <c r="J1004" s="89" t="s">
        <v>1237</v>
      </c>
      <c r="K1004" s="89" t="str">
        <f>"00050155"</f>
        <v>00050155</v>
      </c>
    </row>
    <row r="1005" spans="1:11" ht="85.5" x14ac:dyDescent="0.25">
      <c r="A1005" s="88">
        <v>108</v>
      </c>
      <c r="B1005" s="89" t="s">
        <v>2853</v>
      </c>
      <c r="C1005" s="88" t="s">
        <v>0</v>
      </c>
      <c r="D1005" s="89"/>
      <c r="E1005" s="91">
        <v>24411</v>
      </c>
      <c r="F1005" s="88">
        <v>4</v>
      </c>
      <c r="G1005" s="89" t="s">
        <v>2854</v>
      </c>
      <c r="H1005" s="89" t="s">
        <v>2855</v>
      </c>
      <c r="I1005" s="89" t="s">
        <v>237</v>
      </c>
      <c r="J1005" s="89" t="s">
        <v>2856</v>
      </c>
      <c r="K1005" s="89" t="str">
        <f>"00050286"</f>
        <v>00050286</v>
      </c>
    </row>
    <row r="1006" spans="1:11" ht="71.25" x14ac:dyDescent="0.25">
      <c r="A1006" s="88">
        <v>108</v>
      </c>
      <c r="B1006" s="89" t="s">
        <v>2827</v>
      </c>
      <c r="C1006" s="88" t="s">
        <v>0</v>
      </c>
      <c r="D1006" s="89"/>
      <c r="E1006" s="91">
        <v>18248</v>
      </c>
      <c r="F1006" s="88">
        <v>4</v>
      </c>
      <c r="G1006" s="89" t="s">
        <v>2862</v>
      </c>
      <c r="H1006" s="89" t="s">
        <v>2863</v>
      </c>
      <c r="I1006" s="89" t="s">
        <v>32</v>
      </c>
      <c r="J1006" s="89" t="s">
        <v>262</v>
      </c>
      <c r="K1006" s="89" t="str">
        <f>"00048814"</f>
        <v>00048814</v>
      </c>
    </row>
    <row r="1007" spans="1:11" ht="42.75" x14ac:dyDescent="0.25">
      <c r="A1007" s="88">
        <v>108</v>
      </c>
      <c r="B1007" s="89" t="s">
        <v>2823</v>
      </c>
      <c r="C1007" s="88" t="s">
        <v>0</v>
      </c>
      <c r="D1007" s="89"/>
      <c r="E1007" s="91">
        <v>15104</v>
      </c>
      <c r="F1007" s="88">
        <v>4</v>
      </c>
      <c r="G1007" s="89" t="s">
        <v>2824</v>
      </c>
      <c r="H1007" s="89" t="s">
        <v>2825</v>
      </c>
      <c r="I1007" s="89" t="s">
        <v>66</v>
      </c>
      <c r="J1007" s="89" t="s">
        <v>2826</v>
      </c>
      <c r="K1007" s="89" t="str">
        <f>"00051507"</f>
        <v>00051507</v>
      </c>
    </row>
    <row r="1008" spans="1:11" ht="85.5" x14ac:dyDescent="0.25">
      <c r="A1008" s="88">
        <v>108</v>
      </c>
      <c r="B1008" s="89" t="s">
        <v>2831</v>
      </c>
      <c r="C1008" s="88" t="s">
        <v>0</v>
      </c>
      <c r="D1008" s="89"/>
      <c r="E1008" s="91">
        <v>127528</v>
      </c>
      <c r="F1008" s="88">
        <v>4</v>
      </c>
      <c r="G1008" s="89" t="s">
        <v>2832</v>
      </c>
      <c r="H1008" s="89" t="s">
        <v>2833</v>
      </c>
      <c r="I1008" s="89" t="s">
        <v>106</v>
      </c>
      <c r="J1008" s="89" t="s">
        <v>2682</v>
      </c>
      <c r="K1008" s="89" t="str">
        <f>"00051853"</f>
        <v>00051853</v>
      </c>
    </row>
    <row r="1009" spans="1:11" ht="85.5" x14ac:dyDescent="0.25">
      <c r="A1009" s="88">
        <v>108</v>
      </c>
      <c r="B1009" s="89" t="s">
        <v>2827</v>
      </c>
      <c r="C1009" s="88" t="s">
        <v>0</v>
      </c>
      <c r="D1009" s="89"/>
      <c r="E1009" s="91">
        <v>25617</v>
      </c>
      <c r="F1009" s="88">
        <v>4</v>
      </c>
      <c r="G1009" s="89" t="s">
        <v>2828</v>
      </c>
      <c r="H1009" s="89" t="s">
        <v>2829</v>
      </c>
      <c r="I1009" s="89" t="s">
        <v>173</v>
      </c>
      <c r="J1009" s="89" t="s">
        <v>2830</v>
      </c>
      <c r="K1009" s="89" t="str">
        <f>"00052680"</f>
        <v>00052680</v>
      </c>
    </row>
    <row r="1010" spans="1:11" ht="57" x14ac:dyDescent="0.25">
      <c r="A1010" s="88">
        <v>108</v>
      </c>
      <c r="B1010" s="89" t="s">
        <v>2867</v>
      </c>
      <c r="C1010" s="88" t="s">
        <v>0</v>
      </c>
      <c r="D1010" s="89"/>
      <c r="E1010" s="91">
        <v>60000</v>
      </c>
      <c r="F1010" s="88">
        <v>4</v>
      </c>
      <c r="G1010" s="89" t="s">
        <v>2868</v>
      </c>
      <c r="H1010" s="89" t="s">
        <v>2869</v>
      </c>
      <c r="I1010" s="89" t="s">
        <v>32</v>
      </c>
      <c r="J1010" s="89" t="s">
        <v>118</v>
      </c>
      <c r="K1010" s="89" t="str">
        <f>"00050393"</f>
        <v>00050393</v>
      </c>
    </row>
    <row r="1011" spans="1:11" ht="57" x14ac:dyDescent="0.25">
      <c r="A1011" s="88">
        <v>108</v>
      </c>
      <c r="B1011" s="89" t="s">
        <v>2864</v>
      </c>
      <c r="C1011" s="88" t="s">
        <v>0</v>
      </c>
      <c r="D1011" s="89"/>
      <c r="E1011" s="91">
        <v>60000</v>
      </c>
      <c r="F1011" s="88">
        <v>4</v>
      </c>
      <c r="G1011" s="89" t="s">
        <v>2865</v>
      </c>
      <c r="H1011" s="89" t="s">
        <v>2866</v>
      </c>
      <c r="I1011" s="89" t="s">
        <v>17</v>
      </c>
      <c r="J1011" s="89" t="s">
        <v>110</v>
      </c>
      <c r="K1011" s="89" t="str">
        <f>"00048418"</f>
        <v>00048418</v>
      </c>
    </row>
    <row r="1012" spans="1:11" ht="42.75" x14ac:dyDescent="0.25">
      <c r="A1012" s="88">
        <v>108</v>
      </c>
      <c r="B1012" s="89" t="s">
        <v>4344</v>
      </c>
      <c r="C1012" s="88" t="s">
        <v>0</v>
      </c>
      <c r="D1012" s="89"/>
      <c r="E1012" s="91">
        <v>22831</v>
      </c>
      <c r="F1012" s="88">
        <v>4</v>
      </c>
      <c r="G1012" s="89" t="s">
        <v>4344</v>
      </c>
      <c r="H1012" s="89" t="s">
        <v>4345</v>
      </c>
      <c r="I1012" s="89" t="s">
        <v>32</v>
      </c>
      <c r="J1012" s="89" t="s">
        <v>393</v>
      </c>
      <c r="K1012" s="89" t="str">
        <f>"00047775"</f>
        <v>00047775</v>
      </c>
    </row>
    <row r="1013" spans="1:11" ht="85.5" x14ac:dyDescent="0.25">
      <c r="A1013" s="88">
        <v>108</v>
      </c>
      <c r="B1013" s="89" t="s">
        <v>4428</v>
      </c>
      <c r="C1013" s="88" t="s">
        <v>0</v>
      </c>
      <c r="D1013" s="89"/>
      <c r="E1013" s="91">
        <v>31992</v>
      </c>
      <c r="F1013" s="88">
        <v>4</v>
      </c>
      <c r="G1013" s="89" t="s">
        <v>4429</v>
      </c>
      <c r="H1013" s="89" t="s">
        <v>4430</v>
      </c>
      <c r="I1013" s="89" t="s">
        <v>4431</v>
      </c>
      <c r="J1013" s="89" t="s">
        <v>4432</v>
      </c>
      <c r="K1013" s="89" t="str">
        <f>"00049625"</f>
        <v>00049625</v>
      </c>
    </row>
    <row r="1014" spans="1:11" ht="42.75" x14ac:dyDescent="0.25">
      <c r="A1014" s="88">
        <v>108</v>
      </c>
      <c r="B1014" s="89" t="s">
        <v>4265</v>
      </c>
      <c r="C1014" s="88" t="s">
        <v>0</v>
      </c>
      <c r="D1014" s="89"/>
      <c r="E1014" s="91">
        <v>149438</v>
      </c>
      <c r="F1014" s="88">
        <v>4</v>
      </c>
      <c r="G1014" s="89" t="s">
        <v>4374</v>
      </c>
      <c r="H1014" s="89" t="s">
        <v>4375</v>
      </c>
      <c r="I1014" s="89" t="s">
        <v>763</v>
      </c>
      <c r="J1014" s="89" t="s">
        <v>764</v>
      </c>
      <c r="K1014" s="89" t="str">
        <f>"00049626"</f>
        <v>00049626</v>
      </c>
    </row>
    <row r="1015" spans="1:11" ht="85.5" x14ac:dyDescent="0.25">
      <c r="A1015" s="88">
        <v>108</v>
      </c>
      <c r="B1015" s="89" t="s">
        <v>4559</v>
      </c>
      <c r="C1015" s="88" t="s">
        <v>0</v>
      </c>
      <c r="D1015" s="89"/>
      <c r="E1015" s="91">
        <v>26809</v>
      </c>
      <c r="F1015" s="88">
        <v>4</v>
      </c>
      <c r="G1015" s="89" t="s">
        <v>4560</v>
      </c>
      <c r="H1015" s="89" t="s">
        <v>1513</v>
      </c>
      <c r="I1015" s="89" t="s">
        <v>17</v>
      </c>
      <c r="J1015" s="89" t="s">
        <v>18</v>
      </c>
      <c r="K1015" s="89" t="str">
        <f>"00051083"</f>
        <v>00051083</v>
      </c>
    </row>
    <row r="1016" spans="1:11" ht="313.5" x14ac:dyDescent="0.25">
      <c r="A1016" s="88">
        <v>108</v>
      </c>
      <c r="B1016" s="89" t="s">
        <v>2853</v>
      </c>
      <c r="C1016" s="88" t="s">
        <v>0</v>
      </c>
      <c r="D1016" s="89"/>
      <c r="E1016" s="28">
        <v>-51725</v>
      </c>
      <c r="F1016" s="88">
        <v>4</v>
      </c>
      <c r="G1016" s="89" t="s">
        <v>2859</v>
      </c>
      <c r="H1016" s="89" t="s">
        <v>2860</v>
      </c>
      <c r="I1016" s="89" t="s">
        <v>209</v>
      </c>
      <c r="J1016" s="89" t="s">
        <v>2861</v>
      </c>
      <c r="K1016" s="89" t="s">
        <v>6614</v>
      </c>
    </row>
    <row r="1017" spans="1:11" ht="99.75" x14ac:dyDescent="0.25">
      <c r="A1017" s="88">
        <v>108</v>
      </c>
      <c r="B1017" s="89" t="s">
        <v>2853</v>
      </c>
      <c r="C1017" s="88" t="s">
        <v>0</v>
      </c>
      <c r="D1017" s="89"/>
      <c r="E1017" s="91">
        <v>-935</v>
      </c>
      <c r="F1017" s="88">
        <v>4</v>
      </c>
      <c r="G1017" s="89" t="s">
        <v>5730</v>
      </c>
      <c r="H1017" s="89" t="s">
        <v>2860</v>
      </c>
      <c r="I1017" s="89" t="s">
        <v>209</v>
      </c>
      <c r="J1017" s="89" t="s">
        <v>2861</v>
      </c>
      <c r="K1017" s="89" t="s">
        <v>5909</v>
      </c>
    </row>
    <row r="1018" spans="1:11" ht="85.5" x14ac:dyDescent="0.25">
      <c r="A1018" s="88">
        <v>108</v>
      </c>
      <c r="B1018" s="89" t="s">
        <v>4072</v>
      </c>
      <c r="C1018" s="88" t="s">
        <v>0</v>
      </c>
      <c r="D1018" s="89"/>
      <c r="E1018" s="91">
        <v>31375</v>
      </c>
      <c r="F1018" s="88">
        <v>7</v>
      </c>
      <c r="G1018" s="89" t="s">
        <v>4073</v>
      </c>
      <c r="H1018" s="89" t="s">
        <v>4053</v>
      </c>
      <c r="I1018" s="89" t="s">
        <v>237</v>
      </c>
      <c r="J1018" s="89" t="s">
        <v>4054</v>
      </c>
      <c r="K1018" s="25" t="s">
        <v>6532</v>
      </c>
    </row>
    <row r="1019" spans="1:11" ht="114" x14ac:dyDescent="0.25">
      <c r="A1019" s="33">
        <v>106</v>
      </c>
      <c r="B1019" s="34" t="s">
        <v>5199</v>
      </c>
      <c r="C1019" s="35" t="s">
        <v>2</v>
      </c>
      <c r="D1019" s="34"/>
      <c r="E1019" s="36">
        <v>-7008</v>
      </c>
      <c r="F1019" s="35">
        <v>4</v>
      </c>
      <c r="G1019" s="34" t="s">
        <v>5200</v>
      </c>
      <c r="H1019" s="34" t="s">
        <v>5201</v>
      </c>
      <c r="I1019" s="34" t="s">
        <v>71</v>
      </c>
      <c r="J1019" s="34" t="s">
        <v>4282</v>
      </c>
      <c r="K1019" s="34" t="s">
        <v>6533</v>
      </c>
    </row>
    <row r="1020" spans="1:11" ht="28.5" x14ac:dyDescent="0.25">
      <c r="A1020" s="37">
        <v>108</v>
      </c>
      <c r="B1020" s="38" t="s">
        <v>12</v>
      </c>
      <c r="C1020" s="37" t="s">
        <v>0</v>
      </c>
      <c r="D1020" s="39">
        <v>75400000</v>
      </c>
      <c r="E1020" s="106"/>
      <c r="F1020" s="37">
        <v>4</v>
      </c>
      <c r="G1020" s="38" t="s">
        <v>52</v>
      </c>
      <c r="H1020" s="38"/>
      <c r="I1020" s="38" t="s">
        <v>53</v>
      </c>
      <c r="J1020" s="38"/>
      <c r="K1020" s="38">
        <v>0</v>
      </c>
    </row>
    <row r="1021" spans="1:11" ht="71.25" x14ac:dyDescent="0.25">
      <c r="A1021" s="37">
        <v>108</v>
      </c>
      <c r="B1021" s="38" t="s">
        <v>654</v>
      </c>
      <c r="C1021" s="37" t="s">
        <v>0</v>
      </c>
      <c r="D1021" s="38"/>
      <c r="E1021" s="39">
        <v>28498</v>
      </c>
      <c r="F1021" s="37">
        <v>4</v>
      </c>
      <c r="G1021" s="38" t="s">
        <v>646</v>
      </c>
      <c r="H1021" s="38" t="s">
        <v>655</v>
      </c>
      <c r="I1021" s="38" t="s">
        <v>648</v>
      </c>
      <c r="J1021" s="38" t="s">
        <v>649</v>
      </c>
      <c r="K1021" s="38">
        <v>0</v>
      </c>
    </row>
    <row r="1022" spans="1:11" ht="71.25" x14ac:dyDescent="0.25">
      <c r="A1022" s="37">
        <v>108</v>
      </c>
      <c r="B1022" s="38" t="s">
        <v>645</v>
      </c>
      <c r="C1022" s="37" t="s">
        <v>0</v>
      </c>
      <c r="D1022" s="38"/>
      <c r="E1022" s="39">
        <v>27255</v>
      </c>
      <c r="F1022" s="37">
        <v>4</v>
      </c>
      <c r="G1022" s="38" t="s">
        <v>646</v>
      </c>
      <c r="H1022" s="38" t="s">
        <v>647</v>
      </c>
      <c r="I1022" s="38" t="s">
        <v>648</v>
      </c>
      <c r="J1022" s="38" t="s">
        <v>649</v>
      </c>
      <c r="K1022" s="38">
        <v>0</v>
      </c>
    </row>
    <row r="1023" spans="1:11" ht="42.75" x14ac:dyDescent="0.25">
      <c r="A1023" s="37">
        <v>108</v>
      </c>
      <c r="B1023" s="38" t="s">
        <v>2892</v>
      </c>
      <c r="C1023" s="37" t="s">
        <v>0</v>
      </c>
      <c r="D1023" s="38"/>
      <c r="E1023" s="39">
        <v>47773</v>
      </c>
      <c r="F1023" s="37">
        <v>4</v>
      </c>
      <c r="G1023" s="38" t="s">
        <v>2893</v>
      </c>
      <c r="H1023" s="38" t="s">
        <v>2894</v>
      </c>
      <c r="I1023" s="38" t="s">
        <v>763</v>
      </c>
      <c r="J1023" s="38" t="s">
        <v>18</v>
      </c>
      <c r="K1023" s="38">
        <v>0</v>
      </c>
    </row>
    <row r="1024" spans="1:11" ht="42.75" x14ac:dyDescent="0.25">
      <c r="A1024" s="37">
        <v>108</v>
      </c>
      <c r="B1024" s="38" t="s">
        <v>2870</v>
      </c>
      <c r="C1024" s="37" t="s">
        <v>0</v>
      </c>
      <c r="D1024" s="38"/>
      <c r="E1024" s="39">
        <v>54360</v>
      </c>
      <c r="F1024" s="37">
        <v>4</v>
      </c>
      <c r="G1024" s="38" t="s">
        <v>2896</v>
      </c>
      <c r="H1024" s="38" t="s">
        <v>2847</v>
      </c>
      <c r="I1024" s="38" t="s">
        <v>66</v>
      </c>
      <c r="J1024" s="38" t="s">
        <v>1311</v>
      </c>
      <c r="K1024" s="38">
        <v>0</v>
      </c>
    </row>
    <row r="1025" spans="1:11" ht="42.75" x14ac:dyDescent="0.25">
      <c r="A1025" s="37">
        <v>108</v>
      </c>
      <c r="B1025" s="38" t="s">
        <v>2884</v>
      </c>
      <c r="C1025" s="37" t="s">
        <v>0</v>
      </c>
      <c r="D1025" s="38"/>
      <c r="E1025" s="39">
        <v>60392</v>
      </c>
      <c r="F1025" s="37">
        <v>4</v>
      </c>
      <c r="G1025" s="38" t="s">
        <v>2895</v>
      </c>
      <c r="H1025" s="38" t="s">
        <v>1140</v>
      </c>
      <c r="I1025" s="38" t="s">
        <v>66</v>
      </c>
      <c r="J1025" s="38" t="s">
        <v>125</v>
      </c>
      <c r="K1025" s="38">
        <v>0</v>
      </c>
    </row>
    <row r="1026" spans="1:11" ht="42.75" x14ac:dyDescent="0.25">
      <c r="A1026" s="37">
        <v>108</v>
      </c>
      <c r="B1026" s="38" t="s">
        <v>2873</v>
      </c>
      <c r="C1026" s="37" t="s">
        <v>0</v>
      </c>
      <c r="D1026" s="38"/>
      <c r="E1026" s="39">
        <v>33420</v>
      </c>
      <c r="F1026" s="37">
        <v>4</v>
      </c>
      <c r="G1026" s="38" t="s">
        <v>2874</v>
      </c>
      <c r="H1026" s="38" t="s">
        <v>2875</v>
      </c>
      <c r="I1026" s="38" t="s">
        <v>2793</v>
      </c>
      <c r="J1026" s="38" t="s">
        <v>2876</v>
      </c>
      <c r="K1026" s="38">
        <v>0</v>
      </c>
    </row>
    <row r="1027" spans="1:11" ht="71.25" x14ac:dyDescent="0.25">
      <c r="A1027" s="37">
        <v>108</v>
      </c>
      <c r="B1027" s="38" t="s">
        <v>650</v>
      </c>
      <c r="C1027" s="37" t="s">
        <v>0</v>
      </c>
      <c r="D1027" s="38"/>
      <c r="E1027" s="39">
        <v>50000</v>
      </c>
      <c r="F1027" s="37">
        <v>4</v>
      </c>
      <c r="G1027" s="38" t="s">
        <v>651</v>
      </c>
      <c r="H1027" s="38" t="s">
        <v>652</v>
      </c>
      <c r="I1027" s="38" t="s">
        <v>185</v>
      </c>
      <c r="J1027" s="38" t="s">
        <v>653</v>
      </c>
      <c r="K1027" s="38">
        <v>0</v>
      </c>
    </row>
    <row r="1028" spans="1:11" ht="57" x14ac:dyDescent="0.25">
      <c r="A1028" s="37">
        <v>108</v>
      </c>
      <c r="B1028" s="38" t="s">
        <v>2873</v>
      </c>
      <c r="C1028" s="37" t="s">
        <v>0</v>
      </c>
      <c r="D1028" s="38"/>
      <c r="E1028" s="39">
        <v>84370</v>
      </c>
      <c r="F1028" s="37">
        <v>4</v>
      </c>
      <c r="G1028" s="38" t="s">
        <v>2880</v>
      </c>
      <c r="H1028" s="38" t="s">
        <v>2881</v>
      </c>
      <c r="I1028" s="38" t="s">
        <v>2882</v>
      </c>
      <c r="J1028" s="38" t="s">
        <v>2883</v>
      </c>
      <c r="K1028" s="38">
        <v>0</v>
      </c>
    </row>
    <row r="1029" spans="1:11" ht="42.75" x14ac:dyDescent="0.25">
      <c r="A1029" s="37">
        <v>108</v>
      </c>
      <c r="B1029" s="38" t="s">
        <v>2903</v>
      </c>
      <c r="C1029" s="37" t="s">
        <v>0</v>
      </c>
      <c r="D1029" s="38"/>
      <c r="E1029" s="39">
        <v>81305</v>
      </c>
      <c r="F1029" s="37">
        <v>4</v>
      </c>
      <c r="G1029" s="38" t="s">
        <v>2904</v>
      </c>
      <c r="H1029" s="38" t="s">
        <v>2905</v>
      </c>
      <c r="I1029" s="38" t="s">
        <v>106</v>
      </c>
      <c r="J1029" s="38" t="s">
        <v>2906</v>
      </c>
      <c r="K1029" s="38">
        <v>0</v>
      </c>
    </row>
    <row r="1030" spans="1:11" ht="71.25" x14ac:dyDescent="0.25">
      <c r="A1030" s="37">
        <v>108</v>
      </c>
      <c r="B1030" s="38" t="s">
        <v>2877</v>
      </c>
      <c r="C1030" s="37" t="s">
        <v>0</v>
      </c>
      <c r="D1030" s="38"/>
      <c r="E1030" s="39">
        <v>60106</v>
      </c>
      <c r="F1030" s="37">
        <v>4</v>
      </c>
      <c r="G1030" s="38" t="s">
        <v>2878</v>
      </c>
      <c r="H1030" s="38" t="s">
        <v>2879</v>
      </c>
      <c r="I1030" s="38" t="s">
        <v>32</v>
      </c>
      <c r="J1030" s="38" t="s">
        <v>423</v>
      </c>
      <c r="K1030" s="38">
        <v>0</v>
      </c>
    </row>
    <row r="1031" spans="1:11" ht="85.5" x14ac:dyDescent="0.25">
      <c r="A1031" s="37">
        <v>108</v>
      </c>
      <c r="B1031" s="38" t="s">
        <v>2870</v>
      </c>
      <c r="C1031" s="37" t="s">
        <v>0</v>
      </c>
      <c r="D1031" s="38"/>
      <c r="E1031" s="39">
        <v>55261</v>
      </c>
      <c r="F1031" s="37">
        <v>4</v>
      </c>
      <c r="G1031" s="38" t="s">
        <v>2871</v>
      </c>
      <c r="H1031" s="38" t="s">
        <v>2872</v>
      </c>
      <c r="I1031" s="38" t="s">
        <v>242</v>
      </c>
      <c r="J1031" s="38" t="s">
        <v>243</v>
      </c>
      <c r="K1031" s="38">
        <v>0</v>
      </c>
    </row>
    <row r="1032" spans="1:11" ht="42.75" x14ac:dyDescent="0.25">
      <c r="A1032" s="37">
        <v>108</v>
      </c>
      <c r="B1032" s="38" t="s">
        <v>2884</v>
      </c>
      <c r="C1032" s="37" t="s">
        <v>0</v>
      </c>
      <c r="D1032" s="38"/>
      <c r="E1032" s="39">
        <v>60988</v>
      </c>
      <c r="F1032" s="37">
        <v>4</v>
      </c>
      <c r="G1032" s="38" t="s">
        <v>2885</v>
      </c>
      <c r="H1032" s="38" t="s">
        <v>2886</v>
      </c>
      <c r="I1032" s="38" t="s">
        <v>998</v>
      </c>
      <c r="J1032" s="38" t="s">
        <v>2887</v>
      </c>
      <c r="K1032" s="38">
        <v>0</v>
      </c>
    </row>
    <row r="1033" spans="1:11" ht="42.75" x14ac:dyDescent="0.25">
      <c r="A1033" s="37">
        <v>108</v>
      </c>
      <c r="B1033" s="38" t="s">
        <v>2888</v>
      </c>
      <c r="C1033" s="37" t="s">
        <v>0</v>
      </c>
      <c r="D1033" s="38"/>
      <c r="E1033" s="39">
        <v>73564</v>
      </c>
      <c r="F1033" s="37">
        <v>4</v>
      </c>
      <c r="G1033" s="38" t="s">
        <v>2889</v>
      </c>
      <c r="H1033" s="38" t="s">
        <v>2890</v>
      </c>
      <c r="I1033" s="38" t="s">
        <v>1315</v>
      </c>
      <c r="J1033" s="38" t="s">
        <v>2891</v>
      </c>
      <c r="K1033" s="38">
        <v>0</v>
      </c>
    </row>
    <row r="1034" spans="1:11" ht="42.75" x14ac:dyDescent="0.25">
      <c r="A1034" s="37">
        <v>108</v>
      </c>
      <c r="B1034" s="38" t="s">
        <v>2897</v>
      </c>
      <c r="C1034" s="37" t="s">
        <v>0</v>
      </c>
      <c r="D1034" s="38"/>
      <c r="E1034" s="39">
        <v>11343</v>
      </c>
      <c r="F1034" s="37">
        <v>4</v>
      </c>
      <c r="G1034" s="38" t="s">
        <v>2898</v>
      </c>
      <c r="H1034" s="38" t="s">
        <v>2899</v>
      </c>
      <c r="I1034" s="38" t="s">
        <v>66</v>
      </c>
      <c r="J1034" s="38" t="s">
        <v>125</v>
      </c>
      <c r="K1034" s="38">
        <v>0</v>
      </c>
    </row>
    <row r="1035" spans="1:11" ht="42.75" x14ac:dyDescent="0.25">
      <c r="A1035" s="37">
        <v>108</v>
      </c>
      <c r="B1035" s="38" t="s">
        <v>2900</v>
      </c>
      <c r="C1035" s="37" t="s">
        <v>0</v>
      </c>
      <c r="D1035" s="38"/>
      <c r="E1035" s="39">
        <v>46503</v>
      </c>
      <c r="F1035" s="37">
        <v>4</v>
      </c>
      <c r="G1035" s="38" t="s">
        <v>2901</v>
      </c>
      <c r="H1035" s="38" t="s">
        <v>2902</v>
      </c>
      <c r="I1035" s="38" t="s">
        <v>94</v>
      </c>
      <c r="J1035" s="38" t="s">
        <v>355</v>
      </c>
      <c r="K1035" s="38">
        <v>0</v>
      </c>
    </row>
    <row r="1036" spans="1:11" ht="42.75" x14ac:dyDescent="0.25">
      <c r="A1036" s="37">
        <v>108</v>
      </c>
      <c r="B1036" s="38" t="s">
        <v>4512</v>
      </c>
      <c r="C1036" s="37" t="s">
        <v>0</v>
      </c>
      <c r="D1036" s="38"/>
      <c r="E1036" s="39">
        <v>48647</v>
      </c>
      <c r="F1036" s="37">
        <v>4</v>
      </c>
      <c r="G1036" s="38" t="s">
        <v>4513</v>
      </c>
      <c r="H1036" s="38" t="s">
        <v>4514</v>
      </c>
      <c r="I1036" s="38" t="s">
        <v>66</v>
      </c>
      <c r="J1036" s="38" t="s">
        <v>125</v>
      </c>
      <c r="K1036" s="38">
        <v>0</v>
      </c>
    </row>
    <row r="1037" spans="1:11" ht="28.5" x14ac:dyDescent="0.25">
      <c r="A1037" s="88">
        <v>108</v>
      </c>
      <c r="B1037" s="89" t="s">
        <v>12</v>
      </c>
      <c r="C1037" s="88" t="s">
        <v>0</v>
      </c>
      <c r="D1037" s="91">
        <v>75400000</v>
      </c>
      <c r="E1037" s="32"/>
      <c r="F1037" s="88">
        <v>4</v>
      </c>
      <c r="G1037" s="89" t="s">
        <v>52</v>
      </c>
      <c r="H1037" s="89"/>
      <c r="I1037" s="89" t="s">
        <v>53</v>
      </c>
      <c r="J1037" s="89"/>
      <c r="K1037" s="89" t="str">
        <f>"　"</f>
        <v>　</v>
      </c>
    </row>
    <row r="1038" spans="1:11" ht="42.75" x14ac:dyDescent="0.25">
      <c r="A1038" s="88">
        <v>108</v>
      </c>
      <c r="B1038" s="89" t="s">
        <v>709</v>
      </c>
      <c r="C1038" s="88" t="s">
        <v>0</v>
      </c>
      <c r="D1038" s="89"/>
      <c r="E1038" s="91">
        <v>52028</v>
      </c>
      <c r="F1038" s="88">
        <v>4</v>
      </c>
      <c r="G1038" s="89" t="s">
        <v>710</v>
      </c>
      <c r="H1038" s="89" t="s">
        <v>711</v>
      </c>
      <c r="I1038" s="89" t="s">
        <v>17</v>
      </c>
      <c r="J1038" s="89" t="s">
        <v>18</v>
      </c>
      <c r="K1038" s="89" t="str">
        <f>"00047406"</f>
        <v>00047406</v>
      </c>
    </row>
    <row r="1039" spans="1:11" ht="57" x14ac:dyDescent="0.25">
      <c r="A1039" s="88">
        <v>108</v>
      </c>
      <c r="B1039" s="89" t="s">
        <v>705</v>
      </c>
      <c r="C1039" s="88" t="s">
        <v>0</v>
      </c>
      <c r="D1039" s="89"/>
      <c r="E1039" s="91">
        <v>91280</v>
      </c>
      <c r="F1039" s="88">
        <v>4</v>
      </c>
      <c r="G1039" s="89" t="s">
        <v>706</v>
      </c>
      <c r="H1039" s="89" t="s">
        <v>707</v>
      </c>
      <c r="I1039" s="89" t="s">
        <v>32</v>
      </c>
      <c r="J1039" s="89" t="s">
        <v>708</v>
      </c>
      <c r="K1039" s="89" t="str">
        <f>"00048588"</f>
        <v>00048588</v>
      </c>
    </row>
    <row r="1040" spans="1:11" ht="56.25" x14ac:dyDescent="0.25">
      <c r="A1040" s="88">
        <v>108</v>
      </c>
      <c r="B1040" s="89" t="s">
        <v>690</v>
      </c>
      <c r="C1040" s="88" t="s">
        <v>0</v>
      </c>
      <c r="D1040" s="89"/>
      <c r="E1040" s="91">
        <v>9402</v>
      </c>
      <c r="F1040" s="88">
        <v>4</v>
      </c>
      <c r="G1040" s="19" t="s">
        <v>712</v>
      </c>
      <c r="H1040" s="89" t="s">
        <v>713</v>
      </c>
      <c r="I1040" s="89" t="s">
        <v>66</v>
      </c>
      <c r="J1040" s="19" t="s">
        <v>609</v>
      </c>
      <c r="K1040" s="89" t="str">
        <f>"00047327"</f>
        <v>00047327</v>
      </c>
    </row>
    <row r="1041" spans="1:11" ht="85.5" x14ac:dyDescent="0.25">
      <c r="A1041" s="88">
        <v>108</v>
      </c>
      <c r="B1041" s="89" t="s">
        <v>714</v>
      </c>
      <c r="C1041" s="88" t="s">
        <v>0</v>
      </c>
      <c r="D1041" s="89"/>
      <c r="E1041" s="91">
        <v>62711</v>
      </c>
      <c r="F1041" s="88">
        <v>4</v>
      </c>
      <c r="G1041" s="89" t="s">
        <v>715</v>
      </c>
      <c r="H1041" s="89" t="s">
        <v>716</v>
      </c>
      <c r="I1041" s="89" t="s">
        <v>66</v>
      </c>
      <c r="J1041" s="89" t="s">
        <v>717</v>
      </c>
      <c r="K1041" s="89" t="str">
        <f>"00046483"</f>
        <v>00046483</v>
      </c>
    </row>
    <row r="1042" spans="1:11" ht="42.75" x14ac:dyDescent="0.25">
      <c r="A1042" s="88">
        <v>108</v>
      </c>
      <c r="B1042" s="89" t="s">
        <v>720</v>
      </c>
      <c r="C1042" s="88" t="s">
        <v>0</v>
      </c>
      <c r="D1042" s="89"/>
      <c r="E1042" s="91">
        <v>100500</v>
      </c>
      <c r="F1042" s="88">
        <v>4</v>
      </c>
      <c r="G1042" s="89" t="s">
        <v>721</v>
      </c>
      <c r="H1042" s="89" t="s">
        <v>722</v>
      </c>
      <c r="I1042" s="89" t="s">
        <v>32</v>
      </c>
      <c r="J1042" s="89" t="s">
        <v>550</v>
      </c>
      <c r="K1042" s="89" t="str">
        <f>"00047400"</f>
        <v>00047400</v>
      </c>
    </row>
    <row r="1043" spans="1:11" ht="42.75" x14ac:dyDescent="0.25">
      <c r="A1043" s="88">
        <v>108</v>
      </c>
      <c r="B1043" s="89" t="s">
        <v>723</v>
      </c>
      <c r="C1043" s="88" t="s">
        <v>0</v>
      </c>
      <c r="D1043" s="89"/>
      <c r="E1043" s="91">
        <v>47101</v>
      </c>
      <c r="F1043" s="88">
        <v>4</v>
      </c>
      <c r="G1043" s="89" t="s">
        <v>724</v>
      </c>
      <c r="H1043" s="89" t="s">
        <v>725</v>
      </c>
      <c r="I1043" s="89" t="s">
        <v>185</v>
      </c>
      <c r="J1043" s="89" t="s">
        <v>270</v>
      </c>
      <c r="K1043" s="89" t="str">
        <f>"00046930"</f>
        <v>00046930</v>
      </c>
    </row>
    <row r="1044" spans="1:11" ht="57" x14ac:dyDescent="0.25">
      <c r="A1044" s="88">
        <v>108</v>
      </c>
      <c r="B1044" s="89" t="s">
        <v>705</v>
      </c>
      <c r="C1044" s="88" t="s">
        <v>0</v>
      </c>
      <c r="D1044" s="89"/>
      <c r="E1044" s="91">
        <v>60000</v>
      </c>
      <c r="F1044" s="88">
        <v>4</v>
      </c>
      <c r="G1044" s="89" t="s">
        <v>730</v>
      </c>
      <c r="H1044" s="89" t="s">
        <v>731</v>
      </c>
      <c r="I1044" s="89" t="s">
        <v>32</v>
      </c>
      <c r="J1044" s="89" t="s">
        <v>708</v>
      </c>
      <c r="K1044" s="89" t="str">
        <f>"00048563"</f>
        <v>00048563</v>
      </c>
    </row>
    <row r="1045" spans="1:11" ht="57" x14ac:dyDescent="0.25">
      <c r="A1045" s="88">
        <v>108</v>
      </c>
      <c r="B1045" s="89" t="s">
        <v>726</v>
      </c>
      <c r="C1045" s="88" t="s">
        <v>0</v>
      </c>
      <c r="D1045" s="89"/>
      <c r="E1045" s="91">
        <v>50000</v>
      </c>
      <c r="F1045" s="88">
        <v>4</v>
      </c>
      <c r="G1045" s="89" t="s">
        <v>727</v>
      </c>
      <c r="H1045" s="89" t="s">
        <v>728</v>
      </c>
      <c r="I1045" s="89" t="s">
        <v>32</v>
      </c>
      <c r="J1045" s="89" t="s">
        <v>729</v>
      </c>
      <c r="K1045" s="89" t="str">
        <f>"00047551"</f>
        <v>00047551</v>
      </c>
    </row>
    <row r="1046" spans="1:11" ht="71.25" x14ac:dyDescent="0.25">
      <c r="A1046" s="88">
        <v>108</v>
      </c>
      <c r="B1046" s="89" t="s">
        <v>680</v>
      </c>
      <c r="C1046" s="88" t="s">
        <v>0</v>
      </c>
      <c r="D1046" s="89"/>
      <c r="E1046" s="91">
        <v>114820</v>
      </c>
      <c r="F1046" s="88">
        <v>4</v>
      </c>
      <c r="G1046" s="89" t="s">
        <v>700</v>
      </c>
      <c r="H1046" s="89" t="s">
        <v>701</v>
      </c>
      <c r="I1046" s="89" t="s">
        <v>32</v>
      </c>
      <c r="J1046" s="89" t="s">
        <v>294</v>
      </c>
      <c r="K1046" s="89" t="str">
        <f>"00046254"</f>
        <v>00046254</v>
      </c>
    </row>
    <row r="1047" spans="1:11" ht="71.25" x14ac:dyDescent="0.25">
      <c r="A1047" s="88">
        <v>108</v>
      </c>
      <c r="B1047" s="89" t="s">
        <v>694</v>
      </c>
      <c r="C1047" s="88" t="s">
        <v>0</v>
      </c>
      <c r="D1047" s="89"/>
      <c r="E1047" s="91">
        <v>114752</v>
      </c>
      <c r="F1047" s="88">
        <v>4</v>
      </c>
      <c r="G1047" s="89" t="s">
        <v>718</v>
      </c>
      <c r="H1047" s="89" t="s">
        <v>719</v>
      </c>
      <c r="I1047" s="89" t="s">
        <v>32</v>
      </c>
      <c r="J1047" s="89" t="s">
        <v>294</v>
      </c>
      <c r="K1047" s="89" t="str">
        <f>"00047111"</f>
        <v>00047111</v>
      </c>
    </row>
    <row r="1048" spans="1:11" ht="71.25" x14ac:dyDescent="0.25">
      <c r="A1048" s="88">
        <v>108</v>
      </c>
      <c r="B1048" s="89" t="s">
        <v>680</v>
      </c>
      <c r="C1048" s="88" t="s">
        <v>0</v>
      </c>
      <c r="D1048" s="89"/>
      <c r="E1048" s="91">
        <v>91528</v>
      </c>
      <c r="F1048" s="88">
        <v>4</v>
      </c>
      <c r="G1048" s="89" t="s">
        <v>681</v>
      </c>
      <c r="H1048" s="89" t="s">
        <v>682</v>
      </c>
      <c r="I1048" s="89" t="s">
        <v>32</v>
      </c>
      <c r="J1048" s="89" t="s">
        <v>294</v>
      </c>
      <c r="K1048" s="89" t="str">
        <f>"00047011"</f>
        <v>00047011</v>
      </c>
    </row>
    <row r="1049" spans="1:11" ht="99.75" x14ac:dyDescent="0.25">
      <c r="A1049" s="88">
        <v>108</v>
      </c>
      <c r="B1049" s="89" t="s">
        <v>683</v>
      </c>
      <c r="C1049" s="88" t="s">
        <v>0</v>
      </c>
      <c r="D1049" s="89"/>
      <c r="E1049" s="91">
        <v>30000</v>
      </c>
      <c r="F1049" s="88">
        <v>4</v>
      </c>
      <c r="G1049" s="89" t="s">
        <v>684</v>
      </c>
      <c r="H1049" s="89" t="s">
        <v>685</v>
      </c>
      <c r="I1049" s="89" t="s">
        <v>32</v>
      </c>
      <c r="J1049" s="89" t="s">
        <v>294</v>
      </c>
      <c r="K1049" s="89" t="str">
        <f>"00046769"</f>
        <v>00046769</v>
      </c>
    </row>
    <row r="1050" spans="1:11" ht="71.25" x14ac:dyDescent="0.25">
      <c r="A1050" s="88">
        <v>108</v>
      </c>
      <c r="B1050" s="89" t="s">
        <v>702</v>
      </c>
      <c r="C1050" s="88" t="s">
        <v>0</v>
      </c>
      <c r="D1050" s="89"/>
      <c r="E1050" s="91">
        <v>126136</v>
      </c>
      <c r="F1050" s="88">
        <v>4</v>
      </c>
      <c r="G1050" s="89" t="s">
        <v>703</v>
      </c>
      <c r="H1050" s="89" t="s">
        <v>704</v>
      </c>
      <c r="I1050" s="89" t="s">
        <v>32</v>
      </c>
      <c r="J1050" s="89" t="s">
        <v>294</v>
      </c>
      <c r="K1050" s="89" t="str">
        <f>"00046758"</f>
        <v>00046758</v>
      </c>
    </row>
    <row r="1051" spans="1:11" ht="42.75" x14ac:dyDescent="0.25">
      <c r="A1051" s="88">
        <v>108</v>
      </c>
      <c r="B1051" s="89" t="s">
        <v>686</v>
      </c>
      <c r="C1051" s="88" t="s">
        <v>0</v>
      </c>
      <c r="D1051" s="89"/>
      <c r="E1051" s="91">
        <v>146759</v>
      </c>
      <c r="F1051" s="88">
        <v>4</v>
      </c>
      <c r="G1051" s="89" t="s">
        <v>687</v>
      </c>
      <c r="H1051" s="89" t="s">
        <v>446</v>
      </c>
      <c r="I1051" s="89" t="s">
        <v>688</v>
      </c>
      <c r="J1051" s="89" t="s">
        <v>689</v>
      </c>
      <c r="K1051" s="89" t="str">
        <f>"00046398"</f>
        <v>00046398</v>
      </c>
    </row>
    <row r="1052" spans="1:11" ht="42.75" x14ac:dyDescent="0.25">
      <c r="A1052" s="88">
        <v>108</v>
      </c>
      <c r="B1052" s="89" t="s">
        <v>698</v>
      </c>
      <c r="C1052" s="88" t="s">
        <v>0</v>
      </c>
      <c r="D1052" s="89"/>
      <c r="E1052" s="91">
        <v>100254</v>
      </c>
      <c r="F1052" s="88">
        <v>4</v>
      </c>
      <c r="G1052" s="89" t="s">
        <v>699</v>
      </c>
      <c r="H1052" s="89" t="s">
        <v>696</v>
      </c>
      <c r="I1052" s="89" t="s">
        <v>588</v>
      </c>
      <c r="J1052" s="89" t="s">
        <v>589</v>
      </c>
      <c r="K1052" s="89" t="str">
        <f>"00048529"</f>
        <v>00048529</v>
      </c>
    </row>
    <row r="1053" spans="1:11" ht="42.75" x14ac:dyDescent="0.25">
      <c r="A1053" s="88">
        <v>108</v>
      </c>
      <c r="B1053" s="89" t="s">
        <v>694</v>
      </c>
      <c r="C1053" s="88" t="s">
        <v>0</v>
      </c>
      <c r="D1053" s="89"/>
      <c r="E1053" s="91">
        <v>119259</v>
      </c>
      <c r="F1053" s="88">
        <v>4</v>
      </c>
      <c r="G1053" s="89" t="s">
        <v>695</v>
      </c>
      <c r="H1053" s="89" t="s">
        <v>696</v>
      </c>
      <c r="I1053" s="89" t="s">
        <v>185</v>
      </c>
      <c r="J1053" s="89" t="s">
        <v>697</v>
      </c>
      <c r="K1053" s="89" t="str">
        <f>"00048113"</f>
        <v>00048113</v>
      </c>
    </row>
    <row r="1054" spans="1:11" ht="42.75" x14ac:dyDescent="0.25">
      <c r="A1054" s="88">
        <v>108</v>
      </c>
      <c r="B1054" s="89" t="s">
        <v>698</v>
      </c>
      <c r="C1054" s="88" t="s">
        <v>0</v>
      </c>
      <c r="D1054" s="89"/>
      <c r="E1054" s="91">
        <v>69790</v>
      </c>
      <c r="F1054" s="88">
        <v>4</v>
      </c>
      <c r="G1054" s="89" t="s">
        <v>699</v>
      </c>
      <c r="H1054" s="89" t="s">
        <v>3001</v>
      </c>
      <c r="I1054" s="89" t="s">
        <v>588</v>
      </c>
      <c r="J1054" s="89" t="s">
        <v>589</v>
      </c>
      <c r="K1054" s="89" t="str">
        <f>"00048730"</f>
        <v>00048730</v>
      </c>
    </row>
    <row r="1055" spans="1:11" ht="85.5" x14ac:dyDescent="0.25">
      <c r="A1055" s="88">
        <v>108</v>
      </c>
      <c r="B1055" s="89" t="s">
        <v>2976</v>
      </c>
      <c r="C1055" s="88" t="s">
        <v>0</v>
      </c>
      <c r="D1055" s="89"/>
      <c r="E1055" s="91">
        <v>67373</v>
      </c>
      <c r="F1055" s="88">
        <v>4</v>
      </c>
      <c r="G1055" s="89" t="s">
        <v>2998</v>
      </c>
      <c r="H1055" s="89" t="s">
        <v>2999</v>
      </c>
      <c r="I1055" s="89" t="s">
        <v>32</v>
      </c>
      <c r="J1055" s="89" t="s">
        <v>3000</v>
      </c>
      <c r="K1055" s="89" t="str">
        <f>"00047859"</f>
        <v>00047859</v>
      </c>
    </row>
    <row r="1056" spans="1:11" ht="57" x14ac:dyDescent="0.25">
      <c r="A1056" s="88">
        <v>108</v>
      </c>
      <c r="B1056" s="89" t="s">
        <v>702</v>
      </c>
      <c r="C1056" s="88" t="s">
        <v>0</v>
      </c>
      <c r="D1056" s="89"/>
      <c r="E1056" s="91">
        <v>75674</v>
      </c>
      <c r="F1056" s="88">
        <v>4</v>
      </c>
      <c r="G1056" s="89" t="s">
        <v>3014</v>
      </c>
      <c r="H1056" s="89" t="s">
        <v>2003</v>
      </c>
      <c r="I1056" s="89" t="s">
        <v>237</v>
      </c>
      <c r="J1056" s="89" t="s">
        <v>3015</v>
      </c>
      <c r="K1056" s="89" t="str">
        <f>"00048410"</f>
        <v>00048410</v>
      </c>
    </row>
    <row r="1057" spans="1:11" ht="42.75" x14ac:dyDescent="0.25">
      <c r="A1057" s="88">
        <v>108</v>
      </c>
      <c r="B1057" s="89" t="s">
        <v>2991</v>
      </c>
      <c r="C1057" s="88" t="s">
        <v>0</v>
      </c>
      <c r="D1057" s="89"/>
      <c r="E1057" s="91">
        <v>61182</v>
      </c>
      <c r="F1057" s="88">
        <v>4</v>
      </c>
      <c r="G1057" s="89" t="s">
        <v>3002</v>
      </c>
      <c r="H1057" s="89" t="s">
        <v>696</v>
      </c>
      <c r="I1057" s="89" t="s">
        <v>588</v>
      </c>
      <c r="J1057" s="89" t="s">
        <v>589</v>
      </c>
      <c r="K1057" s="89" t="str">
        <f>"00047661"</f>
        <v>00047661</v>
      </c>
    </row>
    <row r="1058" spans="1:11" ht="99.75" x14ac:dyDescent="0.25">
      <c r="A1058" s="88">
        <v>108</v>
      </c>
      <c r="B1058" s="89" t="s">
        <v>690</v>
      </c>
      <c r="C1058" s="88" t="s">
        <v>0</v>
      </c>
      <c r="D1058" s="89"/>
      <c r="E1058" s="91">
        <v>37374</v>
      </c>
      <c r="F1058" s="88">
        <v>4</v>
      </c>
      <c r="G1058" s="89" t="s">
        <v>691</v>
      </c>
      <c r="H1058" s="89" t="s">
        <v>692</v>
      </c>
      <c r="I1058" s="89" t="s">
        <v>225</v>
      </c>
      <c r="J1058" s="89" t="s">
        <v>693</v>
      </c>
      <c r="K1058" s="89" t="str">
        <f>"00048222"</f>
        <v>00048222</v>
      </c>
    </row>
    <row r="1059" spans="1:11" ht="57" x14ac:dyDescent="0.25">
      <c r="A1059" s="88">
        <v>108</v>
      </c>
      <c r="B1059" s="89" t="s">
        <v>702</v>
      </c>
      <c r="C1059" s="88" t="s">
        <v>0</v>
      </c>
      <c r="D1059" s="89"/>
      <c r="E1059" s="91">
        <v>31237</v>
      </c>
      <c r="F1059" s="88">
        <v>4</v>
      </c>
      <c r="G1059" s="89" t="s">
        <v>3003</v>
      </c>
      <c r="H1059" s="89" t="s">
        <v>3004</v>
      </c>
      <c r="I1059" s="89" t="s">
        <v>94</v>
      </c>
      <c r="J1059" s="89" t="s">
        <v>3005</v>
      </c>
      <c r="K1059" s="89" t="str">
        <f>"00049556"</f>
        <v>00049556</v>
      </c>
    </row>
    <row r="1060" spans="1:11" ht="42.75" x14ac:dyDescent="0.25">
      <c r="A1060" s="88">
        <v>108</v>
      </c>
      <c r="B1060" s="89" t="s">
        <v>686</v>
      </c>
      <c r="C1060" s="88" t="s">
        <v>0</v>
      </c>
      <c r="D1060" s="89"/>
      <c r="E1060" s="91">
        <v>85767</v>
      </c>
      <c r="F1060" s="88">
        <v>4</v>
      </c>
      <c r="G1060" s="89" t="s">
        <v>3006</v>
      </c>
      <c r="H1060" s="89" t="s">
        <v>3007</v>
      </c>
      <c r="I1060" s="89" t="s">
        <v>32</v>
      </c>
      <c r="J1060" s="89" t="s">
        <v>3008</v>
      </c>
      <c r="K1060" s="89" t="str">
        <f>"00050406"</f>
        <v>00050406</v>
      </c>
    </row>
    <row r="1061" spans="1:11" ht="57" x14ac:dyDescent="0.25">
      <c r="A1061" s="88">
        <v>108</v>
      </c>
      <c r="B1061" s="89" t="s">
        <v>2991</v>
      </c>
      <c r="C1061" s="88" t="s">
        <v>0</v>
      </c>
      <c r="D1061" s="89"/>
      <c r="E1061" s="91">
        <v>85021</v>
      </c>
      <c r="F1061" s="88">
        <v>4</v>
      </c>
      <c r="G1061" s="89" t="s">
        <v>2992</v>
      </c>
      <c r="H1061" s="89" t="s">
        <v>2993</v>
      </c>
      <c r="I1061" s="89" t="s">
        <v>32</v>
      </c>
      <c r="J1061" s="89" t="s">
        <v>729</v>
      </c>
      <c r="K1061" s="89" t="str">
        <f>"00047373"</f>
        <v>00047373</v>
      </c>
    </row>
    <row r="1062" spans="1:11" ht="71.25" x14ac:dyDescent="0.25">
      <c r="A1062" s="88">
        <v>108</v>
      </c>
      <c r="B1062" s="89" t="s">
        <v>726</v>
      </c>
      <c r="C1062" s="88" t="s">
        <v>0</v>
      </c>
      <c r="D1062" s="89"/>
      <c r="E1062" s="91">
        <v>227760</v>
      </c>
      <c r="F1062" s="88">
        <v>4</v>
      </c>
      <c r="G1062" s="89" t="s">
        <v>2994</v>
      </c>
      <c r="H1062" s="89" t="s">
        <v>2995</v>
      </c>
      <c r="I1062" s="89" t="s">
        <v>2996</v>
      </c>
      <c r="J1062" s="89" t="s">
        <v>2997</v>
      </c>
      <c r="K1062" s="89" t="str">
        <f>"00048449"</f>
        <v>00048449</v>
      </c>
    </row>
    <row r="1063" spans="1:11" ht="42.75" x14ac:dyDescent="0.25">
      <c r="A1063" s="88">
        <v>108</v>
      </c>
      <c r="B1063" s="89" t="s">
        <v>2984</v>
      </c>
      <c r="C1063" s="88" t="s">
        <v>0</v>
      </c>
      <c r="D1063" s="89"/>
      <c r="E1063" s="91">
        <v>32877</v>
      </c>
      <c r="F1063" s="88">
        <v>4</v>
      </c>
      <c r="G1063" s="89" t="s">
        <v>3012</v>
      </c>
      <c r="H1063" s="89" t="s">
        <v>261</v>
      </c>
      <c r="I1063" s="89" t="s">
        <v>32</v>
      </c>
      <c r="J1063" s="89" t="s">
        <v>3013</v>
      </c>
      <c r="K1063" s="89" t="str">
        <f>"00048239"</f>
        <v>00048239</v>
      </c>
    </row>
    <row r="1064" spans="1:11" ht="42.75" x14ac:dyDescent="0.25">
      <c r="A1064" s="88">
        <v>108</v>
      </c>
      <c r="B1064" s="89" t="s">
        <v>702</v>
      </c>
      <c r="C1064" s="88" t="s">
        <v>0</v>
      </c>
      <c r="D1064" s="89"/>
      <c r="E1064" s="91">
        <v>72564</v>
      </c>
      <c r="F1064" s="88">
        <v>4</v>
      </c>
      <c r="G1064" s="89" t="s">
        <v>2990</v>
      </c>
      <c r="H1064" s="89" t="s">
        <v>2371</v>
      </c>
      <c r="I1064" s="89" t="s">
        <v>80</v>
      </c>
      <c r="J1064" s="89" t="s">
        <v>80</v>
      </c>
      <c r="K1064" s="89" t="str">
        <f>"00047294"</f>
        <v>00047294</v>
      </c>
    </row>
    <row r="1065" spans="1:11" ht="57" x14ac:dyDescent="0.25">
      <c r="A1065" s="88">
        <v>108</v>
      </c>
      <c r="B1065" s="89" t="s">
        <v>726</v>
      </c>
      <c r="C1065" s="88" t="s">
        <v>0</v>
      </c>
      <c r="D1065" s="89"/>
      <c r="E1065" s="91">
        <v>54335</v>
      </c>
      <c r="F1065" s="88">
        <v>4</v>
      </c>
      <c r="G1065" s="89" t="s">
        <v>3009</v>
      </c>
      <c r="H1065" s="89" t="s">
        <v>3010</v>
      </c>
      <c r="I1065" s="89" t="s">
        <v>237</v>
      </c>
      <c r="J1065" s="89" t="s">
        <v>3011</v>
      </c>
      <c r="K1065" s="89" t="str">
        <f>"00050538"</f>
        <v>00050538</v>
      </c>
    </row>
    <row r="1066" spans="1:11" ht="57" x14ac:dyDescent="0.25">
      <c r="A1066" s="88">
        <v>108</v>
      </c>
      <c r="B1066" s="89" t="s">
        <v>2984</v>
      </c>
      <c r="C1066" s="88" t="s">
        <v>0</v>
      </c>
      <c r="D1066" s="89"/>
      <c r="E1066" s="91">
        <v>115988</v>
      </c>
      <c r="F1066" s="88">
        <v>4</v>
      </c>
      <c r="G1066" s="89" t="s">
        <v>2985</v>
      </c>
      <c r="H1066" s="89" t="s">
        <v>2986</v>
      </c>
      <c r="I1066" s="89" t="s">
        <v>32</v>
      </c>
      <c r="J1066" s="89" t="s">
        <v>33</v>
      </c>
      <c r="K1066" s="89" t="str">
        <f>"00050687"</f>
        <v>00050687</v>
      </c>
    </row>
    <row r="1067" spans="1:11" ht="42.75" x14ac:dyDescent="0.25">
      <c r="A1067" s="88">
        <v>108</v>
      </c>
      <c r="B1067" s="89" t="s">
        <v>2971</v>
      </c>
      <c r="C1067" s="88" t="s">
        <v>0</v>
      </c>
      <c r="D1067" s="89"/>
      <c r="E1067" s="91">
        <v>46751</v>
      </c>
      <c r="F1067" s="88">
        <v>4</v>
      </c>
      <c r="G1067" s="89" t="s">
        <v>2972</v>
      </c>
      <c r="H1067" s="89" t="s">
        <v>2973</v>
      </c>
      <c r="I1067" s="89" t="s">
        <v>66</v>
      </c>
      <c r="J1067" s="89" t="s">
        <v>1237</v>
      </c>
      <c r="K1067" s="89" t="str">
        <f>"00050812"</f>
        <v>00050812</v>
      </c>
    </row>
    <row r="1068" spans="1:11" ht="42.75" x14ac:dyDescent="0.25">
      <c r="A1068" s="88">
        <v>108</v>
      </c>
      <c r="B1068" s="89" t="s">
        <v>690</v>
      </c>
      <c r="C1068" s="88" t="s">
        <v>0</v>
      </c>
      <c r="D1068" s="89"/>
      <c r="E1068" s="91">
        <v>5206</v>
      </c>
      <c r="F1068" s="88">
        <v>4</v>
      </c>
      <c r="G1068" s="89" t="s">
        <v>2974</v>
      </c>
      <c r="H1068" s="89" t="s">
        <v>2975</v>
      </c>
      <c r="I1068" s="89" t="s">
        <v>66</v>
      </c>
      <c r="J1068" s="89" t="s">
        <v>1237</v>
      </c>
      <c r="K1068" s="89" t="str">
        <f>"00050489"</f>
        <v>00050489</v>
      </c>
    </row>
    <row r="1069" spans="1:11" ht="42.75" x14ac:dyDescent="0.25">
      <c r="A1069" s="88">
        <v>108</v>
      </c>
      <c r="B1069" s="89" t="s">
        <v>2981</v>
      </c>
      <c r="C1069" s="88" t="s">
        <v>0</v>
      </c>
      <c r="D1069" s="89"/>
      <c r="E1069" s="91">
        <v>121000</v>
      </c>
      <c r="F1069" s="88">
        <v>4</v>
      </c>
      <c r="G1069" s="89" t="s">
        <v>2982</v>
      </c>
      <c r="H1069" s="89" t="s">
        <v>2983</v>
      </c>
      <c r="I1069" s="89" t="s">
        <v>237</v>
      </c>
      <c r="J1069" s="89" t="s">
        <v>1715</v>
      </c>
      <c r="K1069" s="89" t="str">
        <f>"00049663"</f>
        <v>00049663</v>
      </c>
    </row>
    <row r="1070" spans="1:11" ht="85.5" x14ac:dyDescent="0.25">
      <c r="A1070" s="88">
        <v>108</v>
      </c>
      <c r="B1070" s="89" t="s">
        <v>2980</v>
      </c>
      <c r="C1070" s="88" t="s">
        <v>0</v>
      </c>
      <c r="D1070" s="89"/>
      <c r="E1070" s="91">
        <v>32019</v>
      </c>
      <c r="F1070" s="88">
        <v>4</v>
      </c>
      <c r="G1070" s="89" t="s">
        <v>2977</v>
      </c>
      <c r="H1070" s="89" t="s">
        <v>2978</v>
      </c>
      <c r="I1070" s="89" t="s">
        <v>1371</v>
      </c>
      <c r="J1070" s="89" t="s">
        <v>2979</v>
      </c>
      <c r="K1070" s="89" t="str">
        <f>"00051189"</f>
        <v>00051189</v>
      </c>
    </row>
    <row r="1071" spans="1:11" ht="114" x14ac:dyDescent="0.25">
      <c r="A1071" s="88">
        <v>108</v>
      </c>
      <c r="B1071" s="89" t="s">
        <v>2987</v>
      </c>
      <c r="C1071" s="88" t="s">
        <v>0</v>
      </c>
      <c r="D1071" s="89"/>
      <c r="E1071" s="91">
        <v>100000</v>
      </c>
      <c r="F1071" s="88">
        <v>4</v>
      </c>
      <c r="G1071" s="89" t="s">
        <v>2988</v>
      </c>
      <c r="H1071" s="89" t="s">
        <v>2989</v>
      </c>
      <c r="I1071" s="89" t="s">
        <v>237</v>
      </c>
      <c r="J1071" s="89" t="s">
        <v>1715</v>
      </c>
      <c r="K1071" s="89" t="str">
        <f>"00049943"</f>
        <v>00049943</v>
      </c>
    </row>
    <row r="1072" spans="1:11" ht="85.5" x14ac:dyDescent="0.25">
      <c r="A1072" s="88">
        <v>108</v>
      </c>
      <c r="B1072" s="89" t="s">
        <v>2976</v>
      </c>
      <c r="C1072" s="88" t="s">
        <v>0</v>
      </c>
      <c r="D1072" s="89"/>
      <c r="E1072" s="91">
        <v>62776</v>
      </c>
      <c r="F1072" s="88">
        <v>4</v>
      </c>
      <c r="G1072" s="89" t="s">
        <v>2977</v>
      </c>
      <c r="H1072" s="89" t="s">
        <v>2978</v>
      </c>
      <c r="I1072" s="89" t="s">
        <v>1371</v>
      </c>
      <c r="J1072" s="89" t="s">
        <v>2979</v>
      </c>
      <c r="K1072" s="89" t="str">
        <f>"00051189"</f>
        <v>00051189</v>
      </c>
    </row>
    <row r="1073" spans="1:11" ht="85.5" x14ac:dyDescent="0.25">
      <c r="A1073" s="88">
        <v>108</v>
      </c>
      <c r="B1073" s="89" t="s">
        <v>709</v>
      </c>
      <c r="C1073" s="88" t="s">
        <v>0</v>
      </c>
      <c r="D1073" s="89"/>
      <c r="E1073" s="91">
        <v>73153</v>
      </c>
      <c r="F1073" s="88">
        <v>4</v>
      </c>
      <c r="G1073" s="89" t="s">
        <v>3020</v>
      </c>
      <c r="H1073" s="89" t="s">
        <v>3021</v>
      </c>
      <c r="I1073" s="89" t="s">
        <v>32</v>
      </c>
      <c r="J1073" s="89" t="s">
        <v>36</v>
      </c>
      <c r="K1073" s="89" t="str">
        <f>"00051717"</f>
        <v>00051717</v>
      </c>
    </row>
    <row r="1074" spans="1:11" ht="57" x14ac:dyDescent="0.25">
      <c r="A1074" s="88">
        <v>108</v>
      </c>
      <c r="B1074" s="89" t="s">
        <v>683</v>
      </c>
      <c r="C1074" s="88" t="s">
        <v>0</v>
      </c>
      <c r="D1074" s="89"/>
      <c r="E1074" s="91">
        <v>64843</v>
      </c>
      <c r="F1074" s="88">
        <v>4</v>
      </c>
      <c r="G1074" s="89" t="s">
        <v>3016</v>
      </c>
      <c r="H1074" s="89" t="s">
        <v>3017</v>
      </c>
      <c r="I1074" s="89" t="s">
        <v>32</v>
      </c>
      <c r="J1074" s="89" t="s">
        <v>84</v>
      </c>
      <c r="K1074" s="89" t="str">
        <f>"00052522"</f>
        <v>00052522</v>
      </c>
    </row>
    <row r="1075" spans="1:11" ht="57" x14ac:dyDescent="0.25">
      <c r="A1075" s="88">
        <v>108</v>
      </c>
      <c r="B1075" s="89" t="s">
        <v>3023</v>
      </c>
      <c r="C1075" s="88" t="s">
        <v>0</v>
      </c>
      <c r="D1075" s="89"/>
      <c r="E1075" s="91">
        <v>48596</v>
      </c>
      <c r="F1075" s="88">
        <v>4</v>
      </c>
      <c r="G1075" s="89" t="s">
        <v>3024</v>
      </c>
      <c r="H1075" s="89" t="s">
        <v>3019</v>
      </c>
      <c r="I1075" s="89" t="s">
        <v>66</v>
      </c>
      <c r="J1075" s="89" t="s">
        <v>1311</v>
      </c>
      <c r="K1075" s="89" t="s">
        <v>6395</v>
      </c>
    </row>
    <row r="1076" spans="1:11" ht="57" x14ac:dyDescent="0.25">
      <c r="A1076" s="88">
        <v>108</v>
      </c>
      <c r="B1076" s="89" t="s">
        <v>3027</v>
      </c>
      <c r="C1076" s="88" t="s">
        <v>0</v>
      </c>
      <c r="D1076" s="89"/>
      <c r="E1076" s="91">
        <v>35071</v>
      </c>
      <c r="F1076" s="88">
        <v>4</v>
      </c>
      <c r="G1076" s="89" t="s">
        <v>3028</v>
      </c>
      <c r="H1076" s="89" t="s">
        <v>3029</v>
      </c>
      <c r="I1076" s="89" t="s">
        <v>66</v>
      </c>
      <c r="J1076" s="89" t="s">
        <v>1439</v>
      </c>
      <c r="K1076" s="89" t="str">
        <f>"00052277"</f>
        <v>00052277</v>
      </c>
    </row>
    <row r="1077" spans="1:11" ht="57" x14ac:dyDescent="0.25">
      <c r="A1077" s="88">
        <v>108</v>
      </c>
      <c r="B1077" s="89" t="s">
        <v>726</v>
      </c>
      <c r="C1077" s="88" t="s">
        <v>0</v>
      </c>
      <c r="D1077" s="89"/>
      <c r="E1077" s="91">
        <v>53907</v>
      </c>
      <c r="F1077" s="88">
        <v>4</v>
      </c>
      <c r="G1077" s="89" t="s">
        <v>3025</v>
      </c>
      <c r="H1077" s="89" t="s">
        <v>3026</v>
      </c>
      <c r="I1077" s="89" t="s">
        <v>113</v>
      </c>
      <c r="J1077" s="89" t="s">
        <v>177</v>
      </c>
      <c r="K1077" s="89" t="str">
        <f>"00052701"</f>
        <v>00052701</v>
      </c>
    </row>
    <row r="1078" spans="1:11" ht="57" x14ac:dyDescent="0.25">
      <c r="A1078" s="88">
        <v>108</v>
      </c>
      <c r="B1078" s="89" t="s">
        <v>686</v>
      </c>
      <c r="C1078" s="88" t="s">
        <v>0</v>
      </c>
      <c r="D1078" s="89"/>
      <c r="E1078" s="91">
        <v>109049</v>
      </c>
      <c r="F1078" s="88">
        <v>4</v>
      </c>
      <c r="G1078" s="89" t="s">
        <v>3018</v>
      </c>
      <c r="H1078" s="89" t="s">
        <v>3019</v>
      </c>
      <c r="I1078" s="89" t="s">
        <v>32</v>
      </c>
      <c r="J1078" s="89" t="s">
        <v>84</v>
      </c>
      <c r="K1078" s="89" t="s">
        <v>6017</v>
      </c>
    </row>
    <row r="1079" spans="1:11" ht="57" x14ac:dyDescent="0.25">
      <c r="A1079" s="88">
        <v>108</v>
      </c>
      <c r="B1079" s="89" t="s">
        <v>690</v>
      </c>
      <c r="C1079" s="88" t="s">
        <v>0</v>
      </c>
      <c r="D1079" s="89"/>
      <c r="E1079" s="91">
        <v>90729</v>
      </c>
      <c r="F1079" s="88">
        <v>4</v>
      </c>
      <c r="G1079" s="89" t="s">
        <v>3022</v>
      </c>
      <c r="H1079" s="89" t="s">
        <v>2602</v>
      </c>
      <c r="I1079" s="89" t="s">
        <v>242</v>
      </c>
      <c r="J1079" s="89" t="s">
        <v>1919</v>
      </c>
      <c r="K1079" s="89" t="str">
        <f>"00052773"</f>
        <v>00052773</v>
      </c>
    </row>
    <row r="1080" spans="1:11" ht="99.75" x14ac:dyDescent="0.25">
      <c r="A1080" s="88">
        <v>108</v>
      </c>
      <c r="B1080" s="89" t="s">
        <v>3034</v>
      </c>
      <c r="C1080" s="88" t="s">
        <v>0</v>
      </c>
      <c r="D1080" s="89"/>
      <c r="E1080" s="91">
        <v>70000</v>
      </c>
      <c r="F1080" s="88">
        <v>4</v>
      </c>
      <c r="G1080" s="89" t="s">
        <v>3035</v>
      </c>
      <c r="H1080" s="89" t="s">
        <v>3036</v>
      </c>
      <c r="I1080" s="89" t="s">
        <v>2793</v>
      </c>
      <c r="J1080" s="89" t="s">
        <v>2794</v>
      </c>
      <c r="K1080" s="89" t="str">
        <f>"00051268"</f>
        <v>00051268</v>
      </c>
    </row>
    <row r="1081" spans="1:11" ht="57" x14ac:dyDescent="0.25">
      <c r="A1081" s="88">
        <v>108</v>
      </c>
      <c r="B1081" s="89" t="s">
        <v>3030</v>
      </c>
      <c r="C1081" s="88" t="s">
        <v>0</v>
      </c>
      <c r="D1081" s="89"/>
      <c r="E1081" s="91">
        <v>90000</v>
      </c>
      <c r="F1081" s="88">
        <v>4</v>
      </c>
      <c r="G1081" s="89" t="s">
        <v>3031</v>
      </c>
      <c r="H1081" s="89" t="s">
        <v>3032</v>
      </c>
      <c r="I1081" s="89" t="s">
        <v>80</v>
      </c>
      <c r="J1081" s="89" t="s">
        <v>80</v>
      </c>
      <c r="K1081" s="89" t="s">
        <v>6613</v>
      </c>
    </row>
    <row r="1082" spans="1:11" ht="71.25" x14ac:dyDescent="0.25">
      <c r="A1082" s="88">
        <v>108</v>
      </c>
      <c r="B1082" s="89" t="s">
        <v>732</v>
      </c>
      <c r="C1082" s="88" t="s">
        <v>0</v>
      </c>
      <c r="D1082" s="89"/>
      <c r="E1082" s="91">
        <v>70000</v>
      </c>
      <c r="F1082" s="88">
        <v>4</v>
      </c>
      <c r="G1082" s="89" t="s">
        <v>733</v>
      </c>
      <c r="H1082" s="89" t="s">
        <v>682</v>
      </c>
      <c r="I1082" s="89" t="s">
        <v>32</v>
      </c>
      <c r="J1082" s="89" t="s">
        <v>294</v>
      </c>
      <c r="K1082" s="89" t="str">
        <f>"00047002"</f>
        <v>00047002</v>
      </c>
    </row>
    <row r="1083" spans="1:11" ht="42.75" x14ac:dyDescent="0.25">
      <c r="A1083" s="88">
        <v>108</v>
      </c>
      <c r="B1083" s="89" t="s">
        <v>4509</v>
      </c>
      <c r="C1083" s="88" t="s">
        <v>0</v>
      </c>
      <c r="D1083" s="89"/>
      <c r="E1083" s="91">
        <v>65000</v>
      </c>
      <c r="F1083" s="88">
        <v>4</v>
      </c>
      <c r="G1083" s="89" t="s">
        <v>4510</v>
      </c>
      <c r="H1083" s="89" t="s">
        <v>4511</v>
      </c>
      <c r="I1083" s="89" t="s">
        <v>849</v>
      </c>
      <c r="J1083" s="89" t="s">
        <v>1532</v>
      </c>
      <c r="K1083" s="89" t="str">
        <f>"00051306"</f>
        <v>00051306</v>
      </c>
    </row>
    <row r="1084" spans="1:11" ht="57" x14ac:dyDescent="0.25">
      <c r="A1084" s="88">
        <v>108</v>
      </c>
      <c r="B1084" s="89" t="s">
        <v>4316</v>
      </c>
      <c r="C1084" s="88" t="s">
        <v>0</v>
      </c>
      <c r="D1084" s="89"/>
      <c r="E1084" s="91">
        <v>24792</v>
      </c>
      <c r="F1084" s="88">
        <v>4</v>
      </c>
      <c r="G1084" s="89" t="s">
        <v>4317</v>
      </c>
      <c r="H1084" s="89" t="s">
        <v>4318</v>
      </c>
      <c r="I1084" s="89" t="s">
        <v>106</v>
      </c>
      <c r="J1084" s="89" t="s">
        <v>107</v>
      </c>
      <c r="K1084" s="89" t="str">
        <f>"00047315"</f>
        <v>00047315</v>
      </c>
    </row>
    <row r="1085" spans="1:11" ht="57" x14ac:dyDescent="0.25">
      <c r="A1085" s="88">
        <v>108</v>
      </c>
      <c r="B1085" s="89" t="s">
        <v>724</v>
      </c>
      <c r="C1085" s="88" t="s">
        <v>0</v>
      </c>
      <c r="D1085" s="89"/>
      <c r="E1085" s="91">
        <v>25412</v>
      </c>
      <c r="F1085" s="88">
        <v>4</v>
      </c>
      <c r="G1085" s="89" t="s">
        <v>724</v>
      </c>
      <c r="H1085" s="89" t="s">
        <v>725</v>
      </c>
      <c r="I1085" s="89" t="s">
        <v>185</v>
      </c>
      <c r="J1085" s="89" t="s">
        <v>270</v>
      </c>
      <c r="K1085" s="89" t="str">
        <f>"00046930"</f>
        <v>00046930</v>
      </c>
    </row>
    <row r="1086" spans="1:11" ht="42.75" x14ac:dyDescent="0.25">
      <c r="A1086" s="88">
        <v>108</v>
      </c>
      <c r="B1086" s="89" t="s">
        <v>4342</v>
      </c>
      <c r="C1086" s="88" t="s">
        <v>0</v>
      </c>
      <c r="D1086" s="89"/>
      <c r="E1086" s="91">
        <v>78187</v>
      </c>
      <c r="F1086" s="88">
        <v>4</v>
      </c>
      <c r="G1086" s="89" t="s">
        <v>4342</v>
      </c>
      <c r="H1086" s="89" t="s">
        <v>4343</v>
      </c>
      <c r="I1086" s="89" t="s">
        <v>209</v>
      </c>
      <c r="J1086" s="89" t="s">
        <v>210</v>
      </c>
      <c r="K1086" s="89" t="str">
        <f>"00047561"</f>
        <v>00047561</v>
      </c>
    </row>
    <row r="1087" spans="1:11" ht="42.75" x14ac:dyDescent="0.25">
      <c r="A1087" s="88">
        <v>108</v>
      </c>
      <c r="B1087" s="89" t="s">
        <v>4561</v>
      </c>
      <c r="C1087" s="88" t="s">
        <v>0</v>
      </c>
      <c r="D1087" s="89"/>
      <c r="E1087" s="91">
        <v>92630</v>
      </c>
      <c r="F1087" s="88">
        <v>4</v>
      </c>
      <c r="G1087" s="89" t="s">
        <v>4561</v>
      </c>
      <c r="H1087" s="89" t="s">
        <v>168</v>
      </c>
      <c r="I1087" s="89" t="s">
        <v>32</v>
      </c>
      <c r="J1087" s="89" t="s">
        <v>169</v>
      </c>
      <c r="K1087" s="89" t="str">
        <f>"00048226"</f>
        <v>00048226</v>
      </c>
    </row>
    <row r="1088" spans="1:11" ht="71.25" x14ac:dyDescent="0.25">
      <c r="A1088" s="88">
        <v>108</v>
      </c>
      <c r="B1088" s="89" t="s">
        <v>4357</v>
      </c>
      <c r="C1088" s="88" t="s">
        <v>0</v>
      </c>
      <c r="D1088" s="89"/>
      <c r="E1088" s="91">
        <v>9088</v>
      </c>
      <c r="F1088" s="88">
        <v>4</v>
      </c>
      <c r="G1088" s="89" t="s">
        <v>4358</v>
      </c>
      <c r="H1088" s="89" t="s">
        <v>2643</v>
      </c>
      <c r="I1088" s="89" t="s">
        <v>32</v>
      </c>
      <c r="J1088" s="89" t="s">
        <v>294</v>
      </c>
      <c r="K1088" s="89" t="str">
        <f>"00052450"</f>
        <v>00052450</v>
      </c>
    </row>
    <row r="1089" spans="1:11" ht="42.75" x14ac:dyDescent="0.25">
      <c r="A1089" s="88">
        <v>108</v>
      </c>
      <c r="B1089" s="89" t="s">
        <v>4562</v>
      </c>
      <c r="C1089" s="88" t="s">
        <v>0</v>
      </c>
      <c r="D1089" s="89"/>
      <c r="E1089" s="91">
        <v>52092</v>
      </c>
      <c r="F1089" s="88">
        <v>4</v>
      </c>
      <c r="G1089" s="89" t="s">
        <v>4562</v>
      </c>
      <c r="H1089" s="89" t="s">
        <v>3140</v>
      </c>
      <c r="I1089" s="89" t="s">
        <v>80</v>
      </c>
      <c r="J1089" s="89" t="s">
        <v>80</v>
      </c>
      <c r="K1089" s="89" t="str">
        <f>"00049041"</f>
        <v>00049041</v>
      </c>
    </row>
    <row r="1090" spans="1:11" ht="128.25" x14ac:dyDescent="0.25">
      <c r="A1090" s="88">
        <v>108</v>
      </c>
      <c r="B1090" s="89" t="s">
        <v>4530</v>
      </c>
      <c r="C1090" s="88" t="s">
        <v>0</v>
      </c>
      <c r="D1090" s="89"/>
      <c r="E1090" s="91">
        <v>39256</v>
      </c>
      <c r="F1090" s="88">
        <v>4</v>
      </c>
      <c r="G1090" s="89" t="s">
        <v>4531</v>
      </c>
      <c r="H1090" s="89" t="s">
        <v>4008</v>
      </c>
      <c r="I1090" s="89" t="s">
        <v>32</v>
      </c>
      <c r="J1090" s="89" t="s">
        <v>4009</v>
      </c>
      <c r="K1090" s="89" t="str">
        <f>"00050298"</f>
        <v>00050298</v>
      </c>
    </row>
    <row r="1091" spans="1:11" ht="71.25" x14ac:dyDescent="0.25">
      <c r="A1091" s="88">
        <v>108</v>
      </c>
      <c r="B1091" s="89" t="s">
        <v>5731</v>
      </c>
      <c r="C1091" s="88" t="s">
        <v>2</v>
      </c>
      <c r="D1091" s="89"/>
      <c r="E1091" s="53">
        <v>-52915</v>
      </c>
      <c r="F1091" s="88">
        <v>4</v>
      </c>
      <c r="G1091" s="89" t="s">
        <v>5732</v>
      </c>
      <c r="H1091" s="89" t="s">
        <v>5733</v>
      </c>
      <c r="I1091" s="89" t="s">
        <v>5555</v>
      </c>
      <c r="J1091" s="89" t="s">
        <v>5573</v>
      </c>
      <c r="K1091" s="43" t="s">
        <v>5449</v>
      </c>
    </row>
    <row r="1092" spans="1:11" ht="28.5" x14ac:dyDescent="0.25">
      <c r="A1092" s="88">
        <v>108</v>
      </c>
      <c r="B1092" s="89" t="s">
        <v>12</v>
      </c>
      <c r="C1092" s="88" t="s">
        <v>0</v>
      </c>
      <c r="D1092" s="91">
        <v>75400000</v>
      </c>
      <c r="E1092" s="32"/>
      <c r="F1092" s="88">
        <v>4</v>
      </c>
      <c r="G1092" s="89" t="s">
        <v>52</v>
      </c>
      <c r="H1092" s="89"/>
      <c r="I1092" s="89" t="s">
        <v>53</v>
      </c>
      <c r="J1092" s="89"/>
      <c r="K1092" s="89" t="str">
        <f>"　"</f>
        <v>　</v>
      </c>
    </row>
    <row r="1093" spans="1:11" ht="42.75" x14ac:dyDescent="0.25">
      <c r="A1093" s="88">
        <v>108</v>
      </c>
      <c r="B1093" s="89" t="s">
        <v>737</v>
      </c>
      <c r="C1093" s="88" t="s">
        <v>0</v>
      </c>
      <c r="D1093" s="89"/>
      <c r="E1093" s="91">
        <v>9756</v>
      </c>
      <c r="F1093" s="88">
        <v>4</v>
      </c>
      <c r="G1093" s="89" t="s">
        <v>738</v>
      </c>
      <c r="H1093" s="89" t="s">
        <v>739</v>
      </c>
      <c r="I1093" s="89" t="s">
        <v>66</v>
      </c>
      <c r="J1093" s="89" t="s">
        <v>125</v>
      </c>
      <c r="K1093" s="89" t="s">
        <v>6396</v>
      </c>
    </row>
    <row r="1094" spans="1:11" ht="71.25" x14ac:dyDescent="0.25">
      <c r="A1094" s="88">
        <v>108</v>
      </c>
      <c r="B1094" s="89" t="s">
        <v>743</v>
      </c>
      <c r="C1094" s="88" t="s">
        <v>0</v>
      </c>
      <c r="D1094" s="89"/>
      <c r="E1094" s="91">
        <v>6273</v>
      </c>
      <c r="F1094" s="88">
        <v>4</v>
      </c>
      <c r="G1094" s="89" t="s">
        <v>744</v>
      </c>
      <c r="H1094" s="89" t="s">
        <v>745</v>
      </c>
      <c r="I1094" s="89" t="s">
        <v>746</v>
      </c>
      <c r="J1094" s="89" t="s">
        <v>747</v>
      </c>
      <c r="K1094" s="89" t="s">
        <v>6397</v>
      </c>
    </row>
    <row r="1095" spans="1:11" ht="57" x14ac:dyDescent="0.25">
      <c r="A1095" s="88">
        <v>108</v>
      </c>
      <c r="B1095" s="89" t="s">
        <v>740</v>
      </c>
      <c r="C1095" s="88" t="s">
        <v>0</v>
      </c>
      <c r="D1095" s="89"/>
      <c r="E1095" s="91">
        <v>32073</v>
      </c>
      <c r="F1095" s="88">
        <v>4</v>
      </c>
      <c r="G1095" s="89" t="s">
        <v>741</v>
      </c>
      <c r="H1095" s="89" t="s">
        <v>595</v>
      </c>
      <c r="I1095" s="89" t="s">
        <v>32</v>
      </c>
      <c r="J1095" s="89" t="s">
        <v>742</v>
      </c>
      <c r="K1095" s="89" t="str">
        <f>"00047615"</f>
        <v>00047615</v>
      </c>
    </row>
    <row r="1096" spans="1:11" ht="42.75" x14ac:dyDescent="0.25">
      <c r="A1096" s="88">
        <v>108</v>
      </c>
      <c r="B1096" s="89" t="s">
        <v>734</v>
      </c>
      <c r="C1096" s="88" t="s">
        <v>0</v>
      </c>
      <c r="D1096" s="89"/>
      <c r="E1096" s="91">
        <v>21837</v>
      </c>
      <c r="F1096" s="88">
        <v>4</v>
      </c>
      <c r="G1096" s="89" t="s">
        <v>735</v>
      </c>
      <c r="H1096" s="89" t="s">
        <v>736</v>
      </c>
      <c r="I1096" s="89" t="s">
        <v>66</v>
      </c>
      <c r="J1096" s="89" t="s">
        <v>99</v>
      </c>
      <c r="K1096" s="89" t="s">
        <v>5910</v>
      </c>
    </row>
    <row r="1097" spans="1:11" ht="42.75" x14ac:dyDescent="0.25">
      <c r="A1097" s="88">
        <v>108</v>
      </c>
      <c r="B1097" s="89" t="s">
        <v>3039</v>
      </c>
      <c r="C1097" s="88" t="s">
        <v>0</v>
      </c>
      <c r="D1097" s="89"/>
      <c r="E1097" s="91">
        <v>93152</v>
      </c>
      <c r="F1097" s="88">
        <v>4</v>
      </c>
      <c r="G1097" s="89" t="s">
        <v>3040</v>
      </c>
      <c r="H1097" s="89" t="s">
        <v>3041</v>
      </c>
      <c r="I1097" s="89" t="s">
        <v>32</v>
      </c>
      <c r="J1097" s="89" t="s">
        <v>742</v>
      </c>
      <c r="K1097" s="89" t="s">
        <v>6018</v>
      </c>
    </row>
    <row r="1098" spans="1:11" ht="99.75" x14ac:dyDescent="0.25">
      <c r="A1098" s="88">
        <v>108</v>
      </c>
      <c r="B1098" s="89" t="s">
        <v>3037</v>
      </c>
      <c r="C1098" s="88" t="s">
        <v>0</v>
      </c>
      <c r="D1098" s="89"/>
      <c r="E1098" s="91">
        <v>105922</v>
      </c>
      <c r="F1098" s="88">
        <v>4</v>
      </c>
      <c r="G1098" s="89" t="s">
        <v>3038</v>
      </c>
      <c r="H1098" s="89" t="s">
        <v>1940</v>
      </c>
      <c r="I1098" s="89" t="s">
        <v>32</v>
      </c>
      <c r="J1098" s="89" t="s">
        <v>36</v>
      </c>
      <c r="K1098" s="89" t="s">
        <v>6019</v>
      </c>
    </row>
    <row r="1099" spans="1:11" ht="57" x14ac:dyDescent="0.25">
      <c r="A1099" s="88">
        <v>108</v>
      </c>
      <c r="B1099" s="89" t="s">
        <v>3045</v>
      </c>
      <c r="C1099" s="88" t="s">
        <v>0</v>
      </c>
      <c r="D1099" s="89"/>
      <c r="E1099" s="91">
        <v>60000</v>
      </c>
      <c r="F1099" s="88">
        <v>4</v>
      </c>
      <c r="G1099" s="89" t="s">
        <v>3046</v>
      </c>
      <c r="H1099" s="89" t="s">
        <v>3047</v>
      </c>
      <c r="I1099" s="89" t="s">
        <v>32</v>
      </c>
      <c r="J1099" s="89" t="s">
        <v>36</v>
      </c>
      <c r="K1099" s="107" t="str">
        <f>"00051438"</f>
        <v>00051438</v>
      </c>
    </row>
    <row r="1100" spans="1:11" ht="57" x14ac:dyDescent="0.25">
      <c r="A1100" s="88">
        <v>108</v>
      </c>
      <c r="B1100" s="89" t="s">
        <v>3042</v>
      </c>
      <c r="C1100" s="88" t="s">
        <v>0</v>
      </c>
      <c r="D1100" s="89"/>
      <c r="E1100" s="91">
        <v>50000</v>
      </c>
      <c r="F1100" s="88">
        <v>4</v>
      </c>
      <c r="G1100" s="89" t="s">
        <v>3043</v>
      </c>
      <c r="H1100" s="89" t="s">
        <v>3044</v>
      </c>
      <c r="I1100" s="89" t="s">
        <v>32</v>
      </c>
      <c r="J1100" s="89" t="s">
        <v>36</v>
      </c>
      <c r="K1100" s="89" t="str">
        <f>"00051199"</f>
        <v>00051199</v>
      </c>
    </row>
    <row r="1101" spans="1:11" ht="57" x14ac:dyDescent="0.25">
      <c r="A1101" s="88">
        <v>108</v>
      </c>
      <c r="B1101" s="89" t="s">
        <v>3048</v>
      </c>
      <c r="C1101" s="88" t="s">
        <v>0</v>
      </c>
      <c r="D1101" s="89"/>
      <c r="E1101" s="91">
        <v>50000</v>
      </c>
      <c r="F1101" s="88">
        <v>4</v>
      </c>
      <c r="G1101" s="89" t="s">
        <v>3049</v>
      </c>
      <c r="H1101" s="89" t="s">
        <v>3050</v>
      </c>
      <c r="I1101" s="89" t="s">
        <v>32</v>
      </c>
      <c r="J1101" s="89" t="s">
        <v>36</v>
      </c>
      <c r="K1101" s="89" t="str">
        <f>"00050579"</f>
        <v>00050579</v>
      </c>
    </row>
    <row r="1102" spans="1:11" ht="28.5" x14ac:dyDescent="0.25">
      <c r="A1102" s="40">
        <v>108</v>
      </c>
      <c r="B1102" s="41" t="s">
        <v>12</v>
      </c>
      <c r="C1102" s="40" t="s">
        <v>0</v>
      </c>
      <c r="D1102" s="44">
        <v>1829000</v>
      </c>
      <c r="E1102" s="108"/>
      <c r="F1102" s="40">
        <v>4</v>
      </c>
      <c r="G1102" s="41" t="s">
        <v>825</v>
      </c>
      <c r="H1102" s="41"/>
      <c r="I1102" s="41" t="s">
        <v>14</v>
      </c>
      <c r="J1102" s="41"/>
      <c r="K1102" s="89" t="str">
        <f>"　"</f>
        <v>　</v>
      </c>
    </row>
    <row r="1103" spans="1:11" ht="42.75" x14ac:dyDescent="0.25">
      <c r="A1103" s="40">
        <v>108</v>
      </c>
      <c r="B1103" s="41" t="s">
        <v>12</v>
      </c>
      <c r="C1103" s="40" t="s">
        <v>0</v>
      </c>
      <c r="D1103" s="41"/>
      <c r="E1103" s="42">
        <v>3935</v>
      </c>
      <c r="F1103" s="40">
        <v>4</v>
      </c>
      <c r="G1103" s="41" t="s">
        <v>3229</v>
      </c>
      <c r="H1103" s="41" t="s">
        <v>556</v>
      </c>
      <c r="I1103" s="41" t="s">
        <v>94</v>
      </c>
      <c r="J1103" s="41" t="s">
        <v>557</v>
      </c>
      <c r="K1103" s="89" t="str">
        <f>"00048544"</f>
        <v>00048544</v>
      </c>
    </row>
    <row r="1104" spans="1:11" ht="199.5" x14ac:dyDescent="0.25">
      <c r="A1104" s="40">
        <v>108</v>
      </c>
      <c r="B1104" s="41" t="s">
        <v>12</v>
      </c>
      <c r="C1104" s="40" t="s">
        <v>0</v>
      </c>
      <c r="D1104" s="41"/>
      <c r="E1104" s="42">
        <v>98176</v>
      </c>
      <c r="F1104" s="40">
        <v>4</v>
      </c>
      <c r="G1104" s="41" t="s">
        <v>3230</v>
      </c>
      <c r="H1104" s="41" t="s">
        <v>3231</v>
      </c>
      <c r="I1104" s="41" t="s">
        <v>80</v>
      </c>
      <c r="J1104" s="41" t="s">
        <v>80</v>
      </c>
      <c r="K1104" s="89" t="s">
        <v>5911</v>
      </c>
    </row>
    <row r="1105" spans="1:11" ht="42.75" x14ac:dyDescent="0.25">
      <c r="A1105" s="40">
        <v>108</v>
      </c>
      <c r="B1105" s="41" t="s">
        <v>12</v>
      </c>
      <c r="C1105" s="40" t="s">
        <v>0</v>
      </c>
      <c r="D1105" s="41"/>
      <c r="E1105" s="42">
        <v>20532</v>
      </c>
      <c r="F1105" s="40">
        <v>4</v>
      </c>
      <c r="G1105" s="41" t="s">
        <v>2672</v>
      </c>
      <c r="H1105" s="41" t="s">
        <v>2671</v>
      </c>
      <c r="I1105" s="41" t="s">
        <v>763</v>
      </c>
      <c r="J1105" s="41" t="s">
        <v>1770</v>
      </c>
      <c r="K1105" s="89" t="str">
        <f>"00049146"</f>
        <v>00049146</v>
      </c>
    </row>
    <row r="1106" spans="1:11" ht="85.5" x14ac:dyDescent="0.25">
      <c r="A1106" s="40">
        <v>108</v>
      </c>
      <c r="B1106" s="41" t="s">
        <v>12</v>
      </c>
      <c r="C1106" s="40" t="s">
        <v>0</v>
      </c>
      <c r="D1106" s="41"/>
      <c r="E1106" s="42">
        <v>84599</v>
      </c>
      <c r="F1106" s="40">
        <v>4</v>
      </c>
      <c r="G1106" s="41" t="s">
        <v>3234</v>
      </c>
      <c r="H1106" s="41" t="s">
        <v>3235</v>
      </c>
      <c r="I1106" s="41" t="s">
        <v>3236</v>
      </c>
      <c r="J1106" s="41" t="s">
        <v>3237</v>
      </c>
      <c r="K1106" s="89" t="str">
        <f>"00049484"</f>
        <v>00049484</v>
      </c>
    </row>
    <row r="1107" spans="1:11" ht="185.25" x14ac:dyDescent="0.25">
      <c r="A1107" s="40">
        <v>108</v>
      </c>
      <c r="B1107" s="41" t="s">
        <v>12</v>
      </c>
      <c r="C1107" s="40" t="s">
        <v>0</v>
      </c>
      <c r="D1107" s="41"/>
      <c r="E1107" s="42">
        <v>178993</v>
      </c>
      <c r="F1107" s="40">
        <v>4</v>
      </c>
      <c r="G1107" s="41" t="s">
        <v>826</v>
      </c>
      <c r="H1107" s="41" t="s">
        <v>827</v>
      </c>
      <c r="I1107" s="41" t="s">
        <v>209</v>
      </c>
      <c r="J1107" s="41" t="s">
        <v>210</v>
      </c>
      <c r="K1107" s="43" t="s">
        <v>5750</v>
      </c>
    </row>
    <row r="1108" spans="1:11" ht="71.25" x14ac:dyDescent="0.25">
      <c r="A1108" s="40">
        <v>108</v>
      </c>
      <c r="B1108" s="41" t="s">
        <v>12</v>
      </c>
      <c r="C1108" s="40" t="s">
        <v>0</v>
      </c>
      <c r="D1108" s="41"/>
      <c r="E1108" s="42">
        <v>74260</v>
      </c>
      <c r="F1108" s="40">
        <v>4</v>
      </c>
      <c r="G1108" s="41" t="s">
        <v>3238</v>
      </c>
      <c r="H1108" s="41" t="s">
        <v>3239</v>
      </c>
      <c r="I1108" s="41" t="s">
        <v>225</v>
      </c>
      <c r="J1108" s="41" t="s">
        <v>3240</v>
      </c>
      <c r="K1108" s="89" t="str">
        <f>"00050907"</f>
        <v>00050907</v>
      </c>
    </row>
    <row r="1109" spans="1:11" ht="71.25" x14ac:dyDescent="0.25">
      <c r="A1109" s="40">
        <v>108</v>
      </c>
      <c r="B1109" s="41" t="s">
        <v>12</v>
      </c>
      <c r="C1109" s="40" t="s">
        <v>0</v>
      </c>
      <c r="D1109" s="41"/>
      <c r="E1109" s="42">
        <v>28033</v>
      </c>
      <c r="F1109" s="40">
        <v>4</v>
      </c>
      <c r="G1109" s="41" t="s">
        <v>3244</v>
      </c>
      <c r="H1109" s="41" t="s">
        <v>3245</v>
      </c>
      <c r="I1109" s="41" t="s">
        <v>32</v>
      </c>
      <c r="J1109" s="41" t="s">
        <v>294</v>
      </c>
      <c r="K1109" s="89" t="str">
        <f>"00052745"</f>
        <v>00052745</v>
      </c>
    </row>
    <row r="1110" spans="1:11" ht="71.25" x14ac:dyDescent="0.25">
      <c r="A1110" s="40">
        <v>108</v>
      </c>
      <c r="B1110" s="41" t="s">
        <v>12</v>
      </c>
      <c r="C1110" s="40" t="s">
        <v>0</v>
      </c>
      <c r="D1110" s="41"/>
      <c r="E1110" s="42">
        <v>32663</v>
      </c>
      <c r="F1110" s="40">
        <v>4</v>
      </c>
      <c r="G1110" s="41" t="s">
        <v>2667</v>
      </c>
      <c r="H1110" s="41" t="s">
        <v>2668</v>
      </c>
      <c r="I1110" s="41" t="s">
        <v>32</v>
      </c>
      <c r="J1110" s="41" t="s">
        <v>294</v>
      </c>
      <c r="K1110" s="89" t="str">
        <f>"00052755"</f>
        <v>00052755</v>
      </c>
    </row>
    <row r="1111" spans="1:11" ht="71.25" x14ac:dyDescent="0.25">
      <c r="A1111" s="40">
        <v>108</v>
      </c>
      <c r="B1111" s="41" t="s">
        <v>12</v>
      </c>
      <c r="C1111" s="40" t="s">
        <v>0</v>
      </c>
      <c r="D1111" s="41"/>
      <c r="E1111" s="42">
        <v>263428</v>
      </c>
      <c r="F1111" s="40">
        <v>4</v>
      </c>
      <c r="G1111" s="41" t="s">
        <v>3241</v>
      </c>
      <c r="H1111" s="41" t="s">
        <v>3242</v>
      </c>
      <c r="I1111" s="41" t="s">
        <v>32</v>
      </c>
      <c r="J1111" s="41" t="s">
        <v>3243</v>
      </c>
      <c r="K1111" s="89" t="str">
        <f>"00051368"</f>
        <v>00051368</v>
      </c>
    </row>
    <row r="1112" spans="1:11" ht="42.75" x14ac:dyDescent="0.25">
      <c r="A1112" s="40">
        <v>108</v>
      </c>
      <c r="B1112" s="41" t="s">
        <v>12</v>
      </c>
      <c r="C1112" s="40" t="s">
        <v>0</v>
      </c>
      <c r="D1112" s="41"/>
      <c r="E1112" s="42">
        <v>30879</v>
      </c>
      <c r="F1112" s="40">
        <v>4</v>
      </c>
      <c r="G1112" s="41" t="s">
        <v>2670</v>
      </c>
      <c r="H1112" s="41" t="s">
        <v>2671</v>
      </c>
      <c r="I1112" s="41" t="s">
        <v>763</v>
      </c>
      <c r="J1112" s="41" t="s">
        <v>1770</v>
      </c>
      <c r="K1112" s="89" t="str">
        <f>"00049255"</f>
        <v>00049255</v>
      </c>
    </row>
    <row r="1113" spans="1:11" ht="57" x14ac:dyDescent="0.25">
      <c r="A1113" s="40">
        <v>108</v>
      </c>
      <c r="B1113" s="41" t="s">
        <v>12</v>
      </c>
      <c r="C1113" s="40" t="s">
        <v>0</v>
      </c>
      <c r="D1113" s="41"/>
      <c r="E1113" s="42">
        <v>75109</v>
      </c>
      <c r="F1113" s="40">
        <v>4</v>
      </c>
      <c r="G1113" s="41" t="s">
        <v>3232</v>
      </c>
      <c r="H1113" s="41" t="s">
        <v>3233</v>
      </c>
      <c r="I1113" s="41" t="s">
        <v>106</v>
      </c>
      <c r="J1113" s="41" t="s">
        <v>107</v>
      </c>
      <c r="K1113" s="89" t="str">
        <f>"00052627"</f>
        <v>00052627</v>
      </c>
    </row>
    <row r="1114" spans="1:11" ht="71.25" x14ac:dyDescent="0.25">
      <c r="A1114" s="40">
        <v>108</v>
      </c>
      <c r="B1114" s="41" t="s">
        <v>12</v>
      </c>
      <c r="C1114" s="40" t="s">
        <v>0</v>
      </c>
      <c r="D1114" s="41"/>
      <c r="E1114" s="42">
        <v>74287</v>
      </c>
      <c r="F1114" s="40">
        <v>4</v>
      </c>
      <c r="G1114" s="41" t="s">
        <v>2667</v>
      </c>
      <c r="H1114" s="41" t="s">
        <v>1808</v>
      </c>
      <c r="I1114" s="41" t="s">
        <v>32</v>
      </c>
      <c r="J1114" s="41" t="s">
        <v>294</v>
      </c>
      <c r="K1114" s="89" t="str">
        <f>"00052756"</f>
        <v>00052756</v>
      </c>
    </row>
    <row r="1115" spans="1:11" ht="28.5" x14ac:dyDescent="0.25">
      <c r="A1115" s="40">
        <v>108</v>
      </c>
      <c r="B1115" s="41" t="s">
        <v>12</v>
      </c>
      <c r="C1115" s="40" t="s">
        <v>0</v>
      </c>
      <c r="D1115" s="42">
        <v>75400000</v>
      </c>
      <c r="E1115" s="41"/>
      <c r="F1115" s="40">
        <v>4</v>
      </c>
      <c r="G1115" s="41" t="s">
        <v>52</v>
      </c>
      <c r="H1115" s="41"/>
      <c r="I1115" s="41" t="s">
        <v>53</v>
      </c>
      <c r="J1115" s="41"/>
      <c r="K1115" s="89" t="str">
        <f>"　"</f>
        <v>　</v>
      </c>
    </row>
    <row r="1116" spans="1:11" ht="71.25" x14ac:dyDescent="0.25">
      <c r="A1116" s="40">
        <v>108</v>
      </c>
      <c r="B1116" s="41" t="s">
        <v>554</v>
      </c>
      <c r="C1116" s="40" t="s">
        <v>0</v>
      </c>
      <c r="D1116" s="41"/>
      <c r="E1116" s="44">
        <v>28111</v>
      </c>
      <c r="F1116" s="40">
        <v>4</v>
      </c>
      <c r="G1116" s="41" t="s">
        <v>555</v>
      </c>
      <c r="H1116" s="41" t="s">
        <v>556</v>
      </c>
      <c r="I1116" s="41" t="s">
        <v>94</v>
      </c>
      <c r="J1116" s="41" t="s">
        <v>557</v>
      </c>
      <c r="K1116" s="89" t="str">
        <f>"00048694"</f>
        <v>00048694</v>
      </c>
    </row>
    <row r="1117" spans="1:11" ht="42.75" x14ac:dyDescent="0.25">
      <c r="A1117" s="40">
        <v>108</v>
      </c>
      <c r="B1117" s="41" t="s">
        <v>563</v>
      </c>
      <c r="C1117" s="40" t="s">
        <v>0</v>
      </c>
      <c r="D1117" s="41"/>
      <c r="E1117" s="44">
        <v>7879</v>
      </c>
      <c r="F1117" s="40">
        <v>4</v>
      </c>
      <c r="G1117" s="41" t="s">
        <v>564</v>
      </c>
      <c r="H1117" s="41" t="s">
        <v>565</v>
      </c>
      <c r="I1117" s="41" t="s">
        <v>173</v>
      </c>
      <c r="J1117" s="41" t="s">
        <v>566</v>
      </c>
      <c r="K1117" s="89" t="str">
        <f>"00047283"</f>
        <v>00047283</v>
      </c>
    </row>
    <row r="1118" spans="1:11" ht="85.5" x14ac:dyDescent="0.25">
      <c r="A1118" s="40">
        <v>108</v>
      </c>
      <c r="B1118" s="41" t="s">
        <v>567</v>
      </c>
      <c r="C1118" s="40" t="s">
        <v>0</v>
      </c>
      <c r="D1118" s="41"/>
      <c r="E1118" s="44">
        <v>179953</v>
      </c>
      <c r="F1118" s="40">
        <v>4</v>
      </c>
      <c r="G1118" s="41" t="s">
        <v>568</v>
      </c>
      <c r="H1118" s="41" t="s">
        <v>569</v>
      </c>
      <c r="I1118" s="41" t="s">
        <v>209</v>
      </c>
      <c r="J1118" s="41" t="s">
        <v>210</v>
      </c>
      <c r="K1118" s="89" t="str">
        <f>"00048022"</f>
        <v>00048022</v>
      </c>
    </row>
    <row r="1119" spans="1:11" ht="99.75" x14ac:dyDescent="0.25">
      <c r="A1119" s="40">
        <v>108</v>
      </c>
      <c r="B1119" s="41" t="s">
        <v>560</v>
      </c>
      <c r="C1119" s="40" t="s">
        <v>0</v>
      </c>
      <c r="D1119" s="41"/>
      <c r="E1119" s="44">
        <v>60686</v>
      </c>
      <c r="F1119" s="40">
        <v>4</v>
      </c>
      <c r="G1119" s="41" t="s">
        <v>561</v>
      </c>
      <c r="H1119" s="41" t="s">
        <v>537</v>
      </c>
      <c r="I1119" s="41" t="s">
        <v>66</v>
      </c>
      <c r="J1119" s="41" t="s">
        <v>562</v>
      </c>
      <c r="K1119" s="89" t="str">
        <f>"00048983"</f>
        <v>00048983</v>
      </c>
    </row>
    <row r="1120" spans="1:11" ht="99.75" x14ac:dyDescent="0.25">
      <c r="A1120" s="40">
        <v>108</v>
      </c>
      <c r="B1120" s="41" t="s">
        <v>558</v>
      </c>
      <c r="C1120" s="40" t="s">
        <v>0</v>
      </c>
      <c r="D1120" s="41"/>
      <c r="E1120" s="44">
        <v>94332</v>
      </c>
      <c r="F1120" s="40">
        <v>4</v>
      </c>
      <c r="G1120" s="41" t="s">
        <v>559</v>
      </c>
      <c r="H1120" s="41" t="s">
        <v>31</v>
      </c>
      <c r="I1120" s="41" t="s">
        <v>209</v>
      </c>
      <c r="J1120" s="41" t="s">
        <v>210</v>
      </c>
      <c r="K1120" s="89" t="str">
        <f>"00047634"</f>
        <v>00047634</v>
      </c>
    </row>
    <row r="1121" spans="1:11" ht="71.25" x14ac:dyDescent="0.25">
      <c r="A1121" s="40">
        <v>108</v>
      </c>
      <c r="B1121" s="41" t="s">
        <v>551</v>
      </c>
      <c r="C1121" s="40" t="s">
        <v>0</v>
      </c>
      <c r="D1121" s="41"/>
      <c r="E1121" s="44">
        <v>58108</v>
      </c>
      <c r="F1121" s="40">
        <v>4</v>
      </c>
      <c r="G1121" s="41" t="s">
        <v>552</v>
      </c>
      <c r="H1121" s="41" t="s">
        <v>537</v>
      </c>
      <c r="I1121" s="41" t="s">
        <v>66</v>
      </c>
      <c r="J1121" s="41" t="s">
        <v>553</v>
      </c>
      <c r="K1121" s="89" t="str">
        <f>"00048841"</f>
        <v>00048841</v>
      </c>
    </row>
    <row r="1122" spans="1:11" ht="57" x14ac:dyDescent="0.25">
      <c r="A1122" s="40">
        <v>108</v>
      </c>
      <c r="B1122" s="41" t="s">
        <v>567</v>
      </c>
      <c r="C1122" s="40" t="s">
        <v>0</v>
      </c>
      <c r="D1122" s="41"/>
      <c r="E1122" s="44">
        <v>103121</v>
      </c>
      <c r="F1122" s="40">
        <v>4</v>
      </c>
      <c r="G1122" s="41" t="s">
        <v>2611</v>
      </c>
      <c r="H1122" s="41" t="s">
        <v>1784</v>
      </c>
      <c r="I1122" s="41" t="s">
        <v>763</v>
      </c>
      <c r="J1122" s="41" t="s">
        <v>1770</v>
      </c>
      <c r="K1122" s="89" t="str">
        <f>"00049521"</f>
        <v>00049521</v>
      </c>
    </row>
    <row r="1123" spans="1:11" ht="42.75" x14ac:dyDescent="0.25">
      <c r="A1123" s="40">
        <v>108</v>
      </c>
      <c r="B1123" s="41" t="s">
        <v>2612</v>
      </c>
      <c r="C1123" s="40" t="s">
        <v>0</v>
      </c>
      <c r="D1123" s="41"/>
      <c r="E1123" s="44">
        <v>88756</v>
      </c>
      <c r="F1123" s="40">
        <v>4</v>
      </c>
      <c r="G1123" s="41" t="s">
        <v>2613</v>
      </c>
      <c r="H1123" s="41" t="s">
        <v>1924</v>
      </c>
      <c r="I1123" s="41" t="s">
        <v>80</v>
      </c>
      <c r="J1123" s="41" t="s">
        <v>80</v>
      </c>
      <c r="K1123" s="89" t="str">
        <f>"00050094"</f>
        <v>00050094</v>
      </c>
    </row>
    <row r="1124" spans="1:11" ht="114" x14ac:dyDescent="0.25">
      <c r="A1124" s="40">
        <v>108</v>
      </c>
      <c r="B1124" s="41" t="s">
        <v>2614</v>
      </c>
      <c r="C1124" s="40" t="s">
        <v>0</v>
      </c>
      <c r="D1124" s="41"/>
      <c r="E1124" s="44">
        <v>20093</v>
      </c>
      <c r="F1124" s="40">
        <v>4</v>
      </c>
      <c r="G1124" s="41" t="s">
        <v>2615</v>
      </c>
      <c r="H1124" s="41" t="s">
        <v>2616</v>
      </c>
      <c r="I1124" s="41" t="s">
        <v>32</v>
      </c>
      <c r="J1124" s="41" t="s">
        <v>2617</v>
      </c>
      <c r="K1124" s="89" t="str">
        <f>"00049815"</f>
        <v>00049815</v>
      </c>
    </row>
    <row r="1125" spans="1:11" ht="99.75" x14ac:dyDescent="0.25">
      <c r="A1125" s="40">
        <v>108</v>
      </c>
      <c r="B1125" s="41" t="s">
        <v>2609</v>
      </c>
      <c r="C1125" s="40" t="s">
        <v>0</v>
      </c>
      <c r="D1125" s="41"/>
      <c r="E1125" s="44">
        <v>77000</v>
      </c>
      <c r="F1125" s="40">
        <v>4</v>
      </c>
      <c r="G1125" s="41" t="s">
        <v>2610</v>
      </c>
      <c r="H1125" s="41" t="s">
        <v>1763</v>
      </c>
      <c r="I1125" s="41" t="s">
        <v>80</v>
      </c>
      <c r="J1125" s="41" t="s">
        <v>80</v>
      </c>
      <c r="K1125" s="89" t="str">
        <f>"00049967"</f>
        <v>00049967</v>
      </c>
    </row>
    <row r="1126" spans="1:11" ht="228" x14ac:dyDescent="0.25">
      <c r="A1126" s="40">
        <v>108</v>
      </c>
      <c r="B1126" s="41" t="s">
        <v>2620</v>
      </c>
      <c r="C1126" s="40" t="s">
        <v>0</v>
      </c>
      <c r="D1126" s="41"/>
      <c r="E1126" s="44">
        <v>148175</v>
      </c>
      <c r="F1126" s="40">
        <v>4</v>
      </c>
      <c r="G1126" s="41" t="s">
        <v>2621</v>
      </c>
      <c r="H1126" s="41" t="s">
        <v>2622</v>
      </c>
      <c r="I1126" s="41" t="s">
        <v>763</v>
      </c>
      <c r="J1126" s="41" t="s">
        <v>1770</v>
      </c>
      <c r="K1126" s="89" t="s">
        <v>6738</v>
      </c>
    </row>
    <row r="1127" spans="1:11" ht="71.25" x14ac:dyDescent="0.25">
      <c r="A1127" s="40">
        <v>108</v>
      </c>
      <c r="B1127" s="41" t="s">
        <v>2620</v>
      </c>
      <c r="C1127" s="40" t="s">
        <v>0</v>
      </c>
      <c r="D1127" s="41"/>
      <c r="E1127" s="44">
        <v>26507</v>
      </c>
      <c r="F1127" s="40">
        <v>4</v>
      </c>
      <c r="G1127" s="41" t="s">
        <v>2623</v>
      </c>
      <c r="H1127" s="41" t="s">
        <v>2624</v>
      </c>
      <c r="I1127" s="41" t="s">
        <v>80</v>
      </c>
      <c r="J1127" s="41" t="s">
        <v>80</v>
      </c>
      <c r="K1127" s="89" t="str">
        <f>"00049298"</f>
        <v>00049298</v>
      </c>
    </row>
    <row r="1128" spans="1:11" ht="57" x14ac:dyDescent="0.25">
      <c r="A1128" s="40">
        <v>108</v>
      </c>
      <c r="B1128" s="41" t="s">
        <v>567</v>
      </c>
      <c r="C1128" s="40" t="s">
        <v>0</v>
      </c>
      <c r="D1128" s="41"/>
      <c r="E1128" s="44">
        <v>216523</v>
      </c>
      <c r="F1128" s="40">
        <v>4</v>
      </c>
      <c r="G1128" s="41" t="s">
        <v>2618</v>
      </c>
      <c r="H1128" s="41" t="s">
        <v>2619</v>
      </c>
      <c r="I1128" s="41" t="s">
        <v>763</v>
      </c>
      <c r="J1128" s="41" t="s">
        <v>1770</v>
      </c>
      <c r="K1128" s="89" t="str">
        <f>"00049583"</f>
        <v>00049583</v>
      </c>
    </row>
    <row r="1129" spans="1:11" ht="85.5" x14ac:dyDescent="0.25">
      <c r="A1129" s="40">
        <v>108</v>
      </c>
      <c r="B1129" s="41" t="s">
        <v>2641</v>
      </c>
      <c r="C1129" s="40" t="s">
        <v>0</v>
      </c>
      <c r="D1129" s="41"/>
      <c r="E1129" s="44">
        <v>68450</v>
      </c>
      <c r="F1129" s="40">
        <v>4</v>
      </c>
      <c r="G1129" s="41" t="s">
        <v>2649</v>
      </c>
      <c r="H1129" s="41" t="s">
        <v>1720</v>
      </c>
      <c r="I1129" s="41" t="s">
        <v>17</v>
      </c>
      <c r="J1129" s="41" t="s">
        <v>619</v>
      </c>
      <c r="K1129" s="89" t="str">
        <f>"00050990"</f>
        <v>00050990</v>
      </c>
    </row>
    <row r="1130" spans="1:11" ht="71.25" x14ac:dyDescent="0.25">
      <c r="A1130" s="40">
        <v>108</v>
      </c>
      <c r="B1130" s="41" t="s">
        <v>2641</v>
      </c>
      <c r="C1130" s="40" t="s">
        <v>0</v>
      </c>
      <c r="D1130" s="41"/>
      <c r="E1130" s="44">
        <v>30986</v>
      </c>
      <c r="F1130" s="40">
        <v>4</v>
      </c>
      <c r="G1130" s="41" t="s">
        <v>2642</v>
      </c>
      <c r="H1130" s="41" t="s">
        <v>2643</v>
      </c>
      <c r="I1130" s="41" t="s">
        <v>32</v>
      </c>
      <c r="J1130" s="41" t="s">
        <v>294</v>
      </c>
      <c r="K1130" s="89" t="str">
        <f>"00052687"</f>
        <v>00052687</v>
      </c>
    </row>
    <row r="1131" spans="1:11" ht="42.75" x14ac:dyDescent="0.25">
      <c r="A1131" s="40">
        <v>108</v>
      </c>
      <c r="B1131" s="41" t="s">
        <v>2633</v>
      </c>
      <c r="C1131" s="40" t="s">
        <v>0</v>
      </c>
      <c r="D1131" s="41"/>
      <c r="E1131" s="44">
        <v>55999</v>
      </c>
      <c r="F1131" s="40">
        <v>4</v>
      </c>
      <c r="G1131" s="41" t="s">
        <v>2654</v>
      </c>
      <c r="H1131" s="41" t="s">
        <v>2655</v>
      </c>
      <c r="I1131" s="41" t="s">
        <v>237</v>
      </c>
      <c r="J1131" s="41" t="s">
        <v>2656</v>
      </c>
      <c r="K1131" s="89" t="str">
        <f>"00051602"</f>
        <v>00051602</v>
      </c>
    </row>
    <row r="1132" spans="1:11" ht="57" x14ac:dyDescent="0.25">
      <c r="A1132" s="40">
        <v>108</v>
      </c>
      <c r="B1132" s="41" t="s">
        <v>2646</v>
      </c>
      <c r="C1132" s="40" t="s">
        <v>0</v>
      </c>
      <c r="D1132" s="41"/>
      <c r="E1132" s="44">
        <v>30514</v>
      </c>
      <c r="F1132" s="40">
        <v>4</v>
      </c>
      <c r="G1132" s="41" t="s">
        <v>2647</v>
      </c>
      <c r="H1132" s="41" t="s">
        <v>2648</v>
      </c>
      <c r="I1132" s="41" t="s">
        <v>242</v>
      </c>
      <c r="J1132" s="41" t="s">
        <v>243</v>
      </c>
      <c r="K1132" s="89" t="str">
        <f>"00051080"</f>
        <v>00051080</v>
      </c>
    </row>
    <row r="1133" spans="1:11" ht="114" x14ac:dyDescent="0.25">
      <c r="A1133" s="40">
        <v>108</v>
      </c>
      <c r="B1133" s="41" t="s">
        <v>2650</v>
      </c>
      <c r="C1133" s="40" t="s">
        <v>0</v>
      </c>
      <c r="D1133" s="41"/>
      <c r="E1133" s="44">
        <v>100000</v>
      </c>
      <c r="F1133" s="40">
        <v>4</v>
      </c>
      <c r="G1133" s="41" t="s">
        <v>2651</v>
      </c>
      <c r="H1133" s="41" t="s">
        <v>2652</v>
      </c>
      <c r="I1133" s="41" t="s">
        <v>849</v>
      </c>
      <c r="J1133" s="41" t="s">
        <v>2653</v>
      </c>
      <c r="K1133" s="89" t="s">
        <v>6612</v>
      </c>
    </row>
    <row r="1134" spans="1:11" ht="71.25" x14ac:dyDescent="0.25">
      <c r="A1134" s="40">
        <v>108</v>
      </c>
      <c r="B1134" s="41" t="s">
        <v>2639</v>
      </c>
      <c r="C1134" s="40" t="s">
        <v>0</v>
      </c>
      <c r="D1134" s="41"/>
      <c r="E1134" s="44">
        <v>60645</v>
      </c>
      <c r="F1134" s="40">
        <v>4</v>
      </c>
      <c r="G1134" s="41" t="s">
        <v>2640</v>
      </c>
      <c r="H1134" s="41" t="s">
        <v>1808</v>
      </c>
      <c r="I1134" s="41" t="s">
        <v>32</v>
      </c>
      <c r="J1134" s="41" t="s">
        <v>294</v>
      </c>
      <c r="K1134" s="89" t="str">
        <f>"00052540"</f>
        <v>00052540</v>
      </c>
    </row>
    <row r="1135" spans="1:11" ht="85.5" x14ac:dyDescent="0.25">
      <c r="A1135" s="40">
        <v>108</v>
      </c>
      <c r="B1135" s="41" t="s">
        <v>2635</v>
      </c>
      <c r="C1135" s="40" t="s">
        <v>0</v>
      </c>
      <c r="D1135" s="41"/>
      <c r="E1135" s="44">
        <v>9679</v>
      </c>
      <c r="F1135" s="40">
        <v>4</v>
      </c>
      <c r="G1135" s="41" t="s">
        <v>2657</v>
      </c>
      <c r="H1135" s="41" t="s">
        <v>2658</v>
      </c>
      <c r="I1135" s="41" t="s">
        <v>94</v>
      </c>
      <c r="J1135" s="41" t="s">
        <v>2659</v>
      </c>
      <c r="K1135" s="89" t="str">
        <f>"00051085"</f>
        <v>00051085</v>
      </c>
    </row>
    <row r="1136" spans="1:11" ht="128.25" x14ac:dyDescent="0.25">
      <c r="A1136" s="40">
        <v>108</v>
      </c>
      <c r="B1136" s="41" t="s">
        <v>2630</v>
      </c>
      <c r="C1136" s="40" t="s">
        <v>0</v>
      </c>
      <c r="D1136" s="41"/>
      <c r="E1136" s="44">
        <v>16690</v>
      </c>
      <c r="F1136" s="40">
        <v>4</v>
      </c>
      <c r="G1136" s="41" t="s">
        <v>2631</v>
      </c>
      <c r="H1136" s="41" t="s">
        <v>2632</v>
      </c>
      <c r="I1136" s="41" t="s">
        <v>32</v>
      </c>
      <c r="J1136" s="41" t="s">
        <v>294</v>
      </c>
      <c r="K1136" s="89" t="s">
        <v>5912</v>
      </c>
    </row>
    <row r="1137" spans="1:11" ht="71.25" x14ac:dyDescent="0.25">
      <c r="A1137" s="40">
        <v>108</v>
      </c>
      <c r="B1137" s="41" t="s">
        <v>2625</v>
      </c>
      <c r="C1137" s="40" t="s">
        <v>0</v>
      </c>
      <c r="D1137" s="41"/>
      <c r="E1137" s="44">
        <v>26433</v>
      </c>
      <c r="F1137" s="40">
        <v>4</v>
      </c>
      <c r="G1137" s="41" t="s">
        <v>2628</v>
      </c>
      <c r="H1137" s="41" t="s">
        <v>2629</v>
      </c>
      <c r="I1137" s="41" t="s">
        <v>32</v>
      </c>
      <c r="J1137" s="41" t="s">
        <v>294</v>
      </c>
      <c r="K1137" s="89" t="str">
        <f>"00052661"</f>
        <v>00052661</v>
      </c>
    </row>
    <row r="1138" spans="1:11" ht="114" x14ac:dyDescent="0.25">
      <c r="A1138" s="40">
        <v>108</v>
      </c>
      <c r="B1138" s="41" t="s">
        <v>2635</v>
      </c>
      <c r="C1138" s="40" t="s">
        <v>0</v>
      </c>
      <c r="D1138" s="41"/>
      <c r="E1138" s="44">
        <v>14680</v>
      </c>
      <c r="F1138" s="40">
        <v>4</v>
      </c>
      <c r="G1138" s="41" t="s">
        <v>2636</v>
      </c>
      <c r="H1138" s="41" t="s">
        <v>2637</v>
      </c>
      <c r="I1138" s="41" t="s">
        <v>61</v>
      </c>
      <c r="J1138" s="41" t="s">
        <v>2638</v>
      </c>
      <c r="K1138" s="89" t="str">
        <f>"00051642"</f>
        <v>00051642</v>
      </c>
    </row>
    <row r="1139" spans="1:11" ht="71.25" x14ac:dyDescent="0.25">
      <c r="A1139" s="40">
        <v>108</v>
      </c>
      <c r="B1139" s="41" t="s">
        <v>2633</v>
      </c>
      <c r="C1139" s="40" t="s">
        <v>0</v>
      </c>
      <c r="D1139" s="41"/>
      <c r="E1139" s="44">
        <v>105599</v>
      </c>
      <c r="F1139" s="40">
        <v>4</v>
      </c>
      <c r="G1139" s="41" t="s">
        <v>2634</v>
      </c>
      <c r="H1139" s="41" t="s">
        <v>2629</v>
      </c>
      <c r="I1139" s="41" t="s">
        <v>32</v>
      </c>
      <c r="J1139" s="41" t="s">
        <v>294</v>
      </c>
      <c r="K1139" s="89" t="str">
        <f>"00052771"</f>
        <v>00052771</v>
      </c>
    </row>
    <row r="1140" spans="1:11" ht="71.25" x14ac:dyDescent="0.25">
      <c r="A1140" s="40">
        <v>108</v>
      </c>
      <c r="B1140" s="41" t="s">
        <v>2644</v>
      </c>
      <c r="C1140" s="40" t="s">
        <v>0</v>
      </c>
      <c r="D1140" s="41"/>
      <c r="E1140" s="44">
        <v>30505</v>
      </c>
      <c r="F1140" s="40">
        <v>4</v>
      </c>
      <c r="G1140" s="41" t="s">
        <v>2645</v>
      </c>
      <c r="H1140" s="41" t="s">
        <v>1808</v>
      </c>
      <c r="I1140" s="41" t="s">
        <v>32</v>
      </c>
      <c r="J1140" s="41" t="s">
        <v>294</v>
      </c>
      <c r="K1140" s="89" t="str">
        <f>"00052653"</f>
        <v>00052653</v>
      </c>
    </row>
    <row r="1141" spans="1:11" ht="128.25" x14ac:dyDescent="0.25">
      <c r="A1141" s="40">
        <v>108</v>
      </c>
      <c r="B1141" s="41" t="s">
        <v>2625</v>
      </c>
      <c r="C1141" s="40" t="s">
        <v>0</v>
      </c>
      <c r="D1141" s="41"/>
      <c r="E1141" s="44">
        <v>57580</v>
      </c>
      <c r="F1141" s="40">
        <v>4</v>
      </c>
      <c r="G1141" s="41" t="s">
        <v>2626</v>
      </c>
      <c r="H1141" s="41" t="s">
        <v>2627</v>
      </c>
      <c r="I1141" s="41" t="s">
        <v>32</v>
      </c>
      <c r="J1141" s="41" t="s">
        <v>294</v>
      </c>
      <c r="K1141" s="89" t="str">
        <f>"00052594"</f>
        <v>00052594</v>
      </c>
    </row>
    <row r="1142" spans="1:11" ht="42.75" x14ac:dyDescent="0.25">
      <c r="A1142" s="40">
        <v>108</v>
      </c>
      <c r="B1142" s="41" t="s">
        <v>2669</v>
      </c>
      <c r="C1142" s="40" t="s">
        <v>0</v>
      </c>
      <c r="D1142" s="41"/>
      <c r="E1142" s="44">
        <v>60000</v>
      </c>
      <c r="F1142" s="40">
        <v>4</v>
      </c>
      <c r="G1142" s="41" t="s">
        <v>2670</v>
      </c>
      <c r="H1142" s="41" t="s">
        <v>2671</v>
      </c>
      <c r="I1142" s="41" t="s">
        <v>763</v>
      </c>
      <c r="J1142" s="41" t="s">
        <v>1770</v>
      </c>
      <c r="K1142" s="89" t="str">
        <f>"00049255"</f>
        <v>00049255</v>
      </c>
    </row>
    <row r="1143" spans="1:11" ht="42.75" x14ac:dyDescent="0.25">
      <c r="A1143" s="40">
        <v>108</v>
      </c>
      <c r="B1143" s="41" t="s">
        <v>2660</v>
      </c>
      <c r="C1143" s="40" t="s">
        <v>0</v>
      </c>
      <c r="D1143" s="41"/>
      <c r="E1143" s="44">
        <v>50000</v>
      </c>
      <c r="F1143" s="40">
        <v>4</v>
      </c>
      <c r="G1143" s="41" t="s">
        <v>2661</v>
      </c>
      <c r="H1143" s="41" t="s">
        <v>2662</v>
      </c>
      <c r="I1143" s="41" t="s">
        <v>588</v>
      </c>
      <c r="J1143" s="41" t="s">
        <v>2663</v>
      </c>
      <c r="K1143" s="89" t="str">
        <f>"00050952"</f>
        <v>00050952</v>
      </c>
    </row>
    <row r="1144" spans="1:11" ht="42.75" x14ac:dyDescent="0.25">
      <c r="A1144" s="40">
        <v>108</v>
      </c>
      <c r="B1144" s="41" t="s">
        <v>2664</v>
      </c>
      <c r="C1144" s="40" t="s">
        <v>0</v>
      </c>
      <c r="D1144" s="41"/>
      <c r="E1144" s="44">
        <v>62189</v>
      </c>
      <c r="F1144" s="40">
        <v>4</v>
      </c>
      <c r="G1144" s="41" t="s">
        <v>2664</v>
      </c>
      <c r="H1144" s="41" t="s">
        <v>2359</v>
      </c>
      <c r="I1144" s="41" t="s">
        <v>237</v>
      </c>
      <c r="J1144" s="41" t="s">
        <v>2665</v>
      </c>
      <c r="K1144" s="89" t="str">
        <f>"00050986"</f>
        <v>00050986</v>
      </c>
    </row>
    <row r="1145" spans="1:11" ht="71.25" x14ac:dyDescent="0.25">
      <c r="A1145" s="40">
        <v>108</v>
      </c>
      <c r="B1145" s="41" t="s">
        <v>2666</v>
      </c>
      <c r="C1145" s="40" t="s">
        <v>0</v>
      </c>
      <c r="D1145" s="41"/>
      <c r="E1145" s="44">
        <v>60000</v>
      </c>
      <c r="F1145" s="40">
        <v>4</v>
      </c>
      <c r="G1145" s="41" t="s">
        <v>2667</v>
      </c>
      <c r="H1145" s="41" t="s">
        <v>2668</v>
      </c>
      <c r="I1145" s="41" t="s">
        <v>32</v>
      </c>
      <c r="J1145" s="41" t="s">
        <v>294</v>
      </c>
      <c r="K1145" s="89" t="str">
        <f>"00052755"</f>
        <v>00052755</v>
      </c>
    </row>
    <row r="1146" spans="1:11" ht="42.75" x14ac:dyDescent="0.25">
      <c r="A1146" s="40">
        <v>108</v>
      </c>
      <c r="B1146" s="41" t="s">
        <v>2672</v>
      </c>
      <c r="C1146" s="40" t="s">
        <v>0</v>
      </c>
      <c r="D1146" s="41"/>
      <c r="E1146" s="44">
        <v>60000</v>
      </c>
      <c r="F1146" s="40">
        <v>4</v>
      </c>
      <c r="G1146" s="41" t="s">
        <v>2672</v>
      </c>
      <c r="H1146" s="41" t="s">
        <v>2671</v>
      </c>
      <c r="I1146" s="41" t="s">
        <v>763</v>
      </c>
      <c r="J1146" s="41" t="s">
        <v>1770</v>
      </c>
      <c r="K1146" s="89" t="str">
        <f>"00049146"</f>
        <v>00049146</v>
      </c>
    </row>
    <row r="1147" spans="1:11" ht="199.5" x14ac:dyDescent="0.25">
      <c r="A1147" s="40">
        <v>108</v>
      </c>
      <c r="B1147" s="41" t="s">
        <v>2673</v>
      </c>
      <c r="C1147" s="40" t="s">
        <v>0</v>
      </c>
      <c r="D1147" s="41"/>
      <c r="E1147" s="44">
        <v>60000</v>
      </c>
      <c r="F1147" s="40">
        <v>4</v>
      </c>
      <c r="G1147" s="41" t="s">
        <v>2674</v>
      </c>
      <c r="H1147" s="41" t="s">
        <v>2275</v>
      </c>
      <c r="I1147" s="41" t="s">
        <v>32</v>
      </c>
      <c r="J1147" s="41" t="s">
        <v>2675</v>
      </c>
      <c r="K1147" s="89" t="s">
        <v>6020</v>
      </c>
    </row>
    <row r="1148" spans="1:11" ht="171" x14ac:dyDescent="0.25">
      <c r="A1148" s="40">
        <v>108</v>
      </c>
      <c r="B1148" s="41" t="s">
        <v>4451</v>
      </c>
      <c r="C1148" s="40" t="s">
        <v>0</v>
      </c>
      <c r="D1148" s="41"/>
      <c r="E1148" s="44">
        <v>82158</v>
      </c>
      <c r="F1148" s="40">
        <v>4</v>
      </c>
      <c r="G1148" s="41" t="s">
        <v>4451</v>
      </c>
      <c r="H1148" s="41" t="s">
        <v>4452</v>
      </c>
      <c r="I1148" s="41" t="s">
        <v>763</v>
      </c>
      <c r="J1148" s="41" t="s">
        <v>1463</v>
      </c>
      <c r="K1148" s="89" t="s">
        <v>6611</v>
      </c>
    </row>
    <row r="1149" spans="1:11" ht="142.5" x14ac:dyDescent="0.25">
      <c r="A1149" s="40">
        <v>108</v>
      </c>
      <c r="B1149" s="41" t="s">
        <v>2651</v>
      </c>
      <c r="C1149" s="40" t="s">
        <v>0</v>
      </c>
      <c r="D1149" s="41"/>
      <c r="E1149" s="44">
        <v>19598</v>
      </c>
      <c r="F1149" s="40">
        <v>4</v>
      </c>
      <c r="G1149" s="41" t="s">
        <v>2651</v>
      </c>
      <c r="H1149" s="41" t="s">
        <v>2652</v>
      </c>
      <c r="I1149" s="41" t="s">
        <v>849</v>
      </c>
      <c r="J1149" s="41" t="s">
        <v>2653</v>
      </c>
      <c r="K1149" s="89" t="s">
        <v>6610</v>
      </c>
    </row>
    <row r="1150" spans="1:11" ht="99.75" x14ac:dyDescent="0.25">
      <c r="A1150" s="40">
        <v>108</v>
      </c>
      <c r="B1150" s="41" t="s">
        <v>4364</v>
      </c>
      <c r="C1150" s="40" t="s">
        <v>0</v>
      </c>
      <c r="D1150" s="41"/>
      <c r="E1150" s="44">
        <v>3948</v>
      </c>
      <c r="F1150" s="40">
        <v>4</v>
      </c>
      <c r="G1150" s="41" t="s">
        <v>4365</v>
      </c>
      <c r="H1150" s="41" t="s">
        <v>4366</v>
      </c>
      <c r="I1150" s="41" t="s">
        <v>4367</v>
      </c>
      <c r="J1150" s="41" t="s">
        <v>4368</v>
      </c>
      <c r="K1150" s="89" t="str">
        <f>"00049747"</f>
        <v>00049747</v>
      </c>
    </row>
    <row r="1151" spans="1:11" ht="57" x14ac:dyDescent="0.25">
      <c r="A1151" s="40">
        <v>108</v>
      </c>
      <c r="B1151" s="41" t="s">
        <v>2647</v>
      </c>
      <c r="C1151" s="40" t="s">
        <v>0</v>
      </c>
      <c r="D1151" s="41"/>
      <c r="E1151" s="44">
        <v>56852</v>
      </c>
      <c r="F1151" s="40">
        <v>4</v>
      </c>
      <c r="G1151" s="41" t="s">
        <v>2647</v>
      </c>
      <c r="H1151" s="41" t="s">
        <v>2648</v>
      </c>
      <c r="I1151" s="41" t="s">
        <v>242</v>
      </c>
      <c r="J1151" s="41" t="s">
        <v>243</v>
      </c>
      <c r="K1151" s="89" t="s">
        <v>5913</v>
      </c>
    </row>
    <row r="1152" spans="1:11" ht="128.25" x14ac:dyDescent="0.25">
      <c r="A1152" s="40">
        <v>108</v>
      </c>
      <c r="B1152" s="41" t="s">
        <v>4220</v>
      </c>
      <c r="C1152" s="40" t="s">
        <v>0</v>
      </c>
      <c r="D1152" s="41"/>
      <c r="E1152" s="44">
        <v>62579</v>
      </c>
      <c r="F1152" s="40">
        <v>4</v>
      </c>
      <c r="G1152" s="41" t="s">
        <v>4220</v>
      </c>
      <c r="H1152" s="41" t="s">
        <v>4221</v>
      </c>
      <c r="I1152" s="41" t="s">
        <v>32</v>
      </c>
      <c r="J1152" s="41" t="s">
        <v>4222</v>
      </c>
      <c r="K1152" s="89" t="s">
        <v>6609</v>
      </c>
    </row>
    <row r="1153" spans="1:11" ht="28.5" x14ac:dyDescent="0.25">
      <c r="A1153" s="88">
        <v>108</v>
      </c>
      <c r="B1153" s="89" t="s">
        <v>12</v>
      </c>
      <c r="C1153" s="88" t="s">
        <v>0</v>
      </c>
      <c r="D1153" s="94">
        <v>10000</v>
      </c>
      <c r="E1153" s="32"/>
      <c r="F1153" s="88">
        <v>4</v>
      </c>
      <c r="G1153" s="89" t="s">
        <v>828</v>
      </c>
      <c r="H1153" s="89"/>
      <c r="I1153" s="89" t="s">
        <v>14</v>
      </c>
      <c r="J1153" s="89"/>
      <c r="K1153" s="89" t="str">
        <f>"　"</f>
        <v>　</v>
      </c>
    </row>
    <row r="1154" spans="1:11" ht="71.25" x14ac:dyDescent="0.25">
      <c r="A1154" s="88">
        <v>108</v>
      </c>
      <c r="B1154" s="89" t="s">
        <v>12</v>
      </c>
      <c r="C1154" s="88" t="s">
        <v>0</v>
      </c>
      <c r="D1154" s="89"/>
      <c r="E1154" s="91">
        <v>9067</v>
      </c>
      <c r="F1154" s="88">
        <v>4</v>
      </c>
      <c r="G1154" s="89" t="s">
        <v>831</v>
      </c>
      <c r="H1154" s="89" t="s">
        <v>60</v>
      </c>
      <c r="I1154" s="89" t="s">
        <v>746</v>
      </c>
      <c r="J1154" s="89" t="s">
        <v>747</v>
      </c>
      <c r="K1154" s="89" t="str">
        <f>"00048553"</f>
        <v>00048553</v>
      </c>
    </row>
    <row r="1155" spans="1:11" ht="28.5" x14ac:dyDescent="0.25">
      <c r="A1155" s="88">
        <v>108</v>
      </c>
      <c r="B1155" s="89" t="s">
        <v>12</v>
      </c>
      <c r="C1155" s="88" t="s">
        <v>0</v>
      </c>
      <c r="D1155" s="94">
        <v>40000</v>
      </c>
      <c r="E1155" s="28"/>
      <c r="F1155" s="88">
        <v>4</v>
      </c>
      <c r="G1155" s="89" t="s">
        <v>828</v>
      </c>
      <c r="H1155" s="89"/>
      <c r="I1155" s="89" t="s">
        <v>14</v>
      </c>
      <c r="J1155" s="89"/>
      <c r="K1155" s="89" t="str">
        <f>"　"</f>
        <v>　</v>
      </c>
    </row>
    <row r="1156" spans="1:11" ht="71.25" x14ac:dyDescent="0.25">
      <c r="A1156" s="88">
        <v>108</v>
      </c>
      <c r="B1156" s="89" t="s">
        <v>12</v>
      </c>
      <c r="C1156" s="88" t="s">
        <v>0</v>
      </c>
      <c r="D1156" s="89"/>
      <c r="E1156" s="91">
        <v>40000</v>
      </c>
      <c r="F1156" s="88">
        <v>4</v>
      </c>
      <c r="G1156" s="89" t="s">
        <v>831</v>
      </c>
      <c r="H1156" s="89" t="s">
        <v>60</v>
      </c>
      <c r="I1156" s="89" t="s">
        <v>746</v>
      </c>
      <c r="J1156" s="89" t="s">
        <v>747</v>
      </c>
      <c r="K1156" s="89" t="str">
        <f>"00048550"</f>
        <v>00048550</v>
      </c>
    </row>
    <row r="1157" spans="1:11" ht="28.5" x14ac:dyDescent="0.25">
      <c r="A1157" s="88">
        <v>108</v>
      </c>
      <c r="B1157" s="89" t="s">
        <v>12</v>
      </c>
      <c r="C1157" s="88" t="s">
        <v>0</v>
      </c>
      <c r="D1157" s="91">
        <v>75400000</v>
      </c>
      <c r="E1157" s="32"/>
      <c r="F1157" s="88">
        <v>4</v>
      </c>
      <c r="G1157" s="89" t="s">
        <v>52</v>
      </c>
      <c r="H1157" s="89"/>
      <c r="I1157" s="89" t="s">
        <v>53</v>
      </c>
      <c r="J1157" s="89"/>
      <c r="K1157" s="89" t="str">
        <f>"　"</f>
        <v>　</v>
      </c>
    </row>
    <row r="1158" spans="1:11" ht="85.5" x14ac:dyDescent="0.25">
      <c r="A1158" s="88">
        <v>108</v>
      </c>
      <c r="B1158" s="89" t="s">
        <v>576</v>
      </c>
      <c r="C1158" s="88" t="s">
        <v>0</v>
      </c>
      <c r="D1158" s="89"/>
      <c r="E1158" s="91">
        <v>5150</v>
      </c>
      <c r="F1158" s="88">
        <v>4</v>
      </c>
      <c r="G1158" s="89" t="s">
        <v>580</v>
      </c>
      <c r="H1158" s="89" t="s">
        <v>578</v>
      </c>
      <c r="I1158" s="89" t="s">
        <v>66</v>
      </c>
      <c r="J1158" s="89" t="s">
        <v>581</v>
      </c>
      <c r="K1158" s="89" t="str">
        <f>"00048179"</f>
        <v>00048179</v>
      </c>
    </row>
    <row r="1159" spans="1:11" ht="42.75" x14ac:dyDescent="0.25">
      <c r="A1159" s="88">
        <v>108</v>
      </c>
      <c r="B1159" s="89" t="s">
        <v>570</v>
      </c>
      <c r="C1159" s="88" t="s">
        <v>0</v>
      </c>
      <c r="D1159" s="89"/>
      <c r="E1159" s="91">
        <v>54874</v>
      </c>
      <c r="F1159" s="88">
        <v>4</v>
      </c>
      <c r="G1159" s="89" t="s">
        <v>572</v>
      </c>
      <c r="H1159" s="89" t="s">
        <v>375</v>
      </c>
      <c r="I1159" s="89" t="s">
        <v>66</v>
      </c>
      <c r="J1159" s="89" t="s">
        <v>302</v>
      </c>
      <c r="K1159" s="89" t="str">
        <f>"00047056"</f>
        <v>00047056</v>
      </c>
    </row>
    <row r="1160" spans="1:11" ht="57" x14ac:dyDescent="0.25">
      <c r="A1160" s="88">
        <v>108</v>
      </c>
      <c r="B1160" s="89" t="s">
        <v>570</v>
      </c>
      <c r="C1160" s="88" t="s">
        <v>0</v>
      </c>
      <c r="D1160" s="89"/>
      <c r="E1160" s="91">
        <v>55963</v>
      </c>
      <c r="F1160" s="88">
        <v>4</v>
      </c>
      <c r="G1160" s="89" t="s">
        <v>571</v>
      </c>
      <c r="H1160" s="89" t="s">
        <v>375</v>
      </c>
      <c r="I1160" s="89" t="s">
        <v>66</v>
      </c>
      <c r="J1160" s="89" t="s">
        <v>302</v>
      </c>
      <c r="K1160" s="89" t="str">
        <f>"00047055"</f>
        <v>00047055</v>
      </c>
    </row>
    <row r="1161" spans="1:11" ht="42.75" x14ac:dyDescent="0.25">
      <c r="A1161" s="88">
        <v>108</v>
      </c>
      <c r="B1161" s="89" t="s">
        <v>570</v>
      </c>
      <c r="C1161" s="88" t="s">
        <v>0</v>
      </c>
      <c r="D1161" s="89"/>
      <c r="E1161" s="91">
        <v>55700</v>
      </c>
      <c r="F1161" s="88">
        <v>4</v>
      </c>
      <c r="G1161" s="89" t="s">
        <v>573</v>
      </c>
      <c r="H1161" s="89" t="s">
        <v>375</v>
      </c>
      <c r="I1161" s="89" t="s">
        <v>66</v>
      </c>
      <c r="J1161" s="89" t="s">
        <v>302</v>
      </c>
      <c r="K1161" s="89" t="str">
        <f>"00047052"</f>
        <v>00047052</v>
      </c>
    </row>
    <row r="1162" spans="1:11" ht="57" x14ac:dyDescent="0.25">
      <c r="A1162" s="88">
        <v>108</v>
      </c>
      <c r="B1162" s="89" t="s">
        <v>2676</v>
      </c>
      <c r="C1162" s="88" t="s">
        <v>0</v>
      </c>
      <c r="D1162" s="89"/>
      <c r="E1162" s="91">
        <v>116635</v>
      </c>
      <c r="F1162" s="88">
        <v>4</v>
      </c>
      <c r="G1162" s="89" t="s">
        <v>2677</v>
      </c>
      <c r="H1162" s="89" t="s">
        <v>2678</v>
      </c>
      <c r="I1162" s="89" t="s">
        <v>32</v>
      </c>
      <c r="J1162" s="89" t="s">
        <v>118</v>
      </c>
      <c r="K1162" s="89" t="str">
        <f>"00050730"</f>
        <v>00050730</v>
      </c>
    </row>
    <row r="1163" spans="1:11" ht="99.75" x14ac:dyDescent="0.25">
      <c r="A1163" s="88">
        <v>108</v>
      </c>
      <c r="B1163" s="89" t="s">
        <v>576</v>
      </c>
      <c r="C1163" s="88" t="s">
        <v>0</v>
      </c>
      <c r="D1163" s="89"/>
      <c r="E1163" s="91">
        <v>10264</v>
      </c>
      <c r="F1163" s="88">
        <v>4</v>
      </c>
      <c r="G1163" s="89" t="s">
        <v>582</v>
      </c>
      <c r="H1163" s="89" t="s">
        <v>583</v>
      </c>
      <c r="I1163" s="89" t="s">
        <v>32</v>
      </c>
      <c r="J1163" s="89" t="s">
        <v>584</v>
      </c>
      <c r="K1163" s="89" t="str">
        <f>"00047707"</f>
        <v>00047707</v>
      </c>
    </row>
    <row r="1164" spans="1:11" ht="42.75" x14ac:dyDescent="0.25">
      <c r="A1164" s="88">
        <v>108</v>
      </c>
      <c r="B1164" s="89" t="s">
        <v>576</v>
      </c>
      <c r="C1164" s="88" t="s">
        <v>0</v>
      </c>
      <c r="D1164" s="89"/>
      <c r="E1164" s="91">
        <v>1422</v>
      </c>
      <c r="F1164" s="88">
        <v>4</v>
      </c>
      <c r="G1164" s="89" t="s">
        <v>577</v>
      </c>
      <c r="H1164" s="89" t="s">
        <v>578</v>
      </c>
      <c r="I1164" s="89" t="s">
        <v>66</v>
      </c>
      <c r="J1164" s="89" t="s">
        <v>579</v>
      </c>
      <c r="K1164" s="89" t="str">
        <f>"00048217"</f>
        <v>00048217</v>
      </c>
    </row>
    <row r="1165" spans="1:11" ht="57" x14ac:dyDescent="0.25">
      <c r="A1165" s="88">
        <v>108</v>
      </c>
      <c r="B1165" s="89" t="s">
        <v>585</v>
      </c>
      <c r="C1165" s="88" t="s">
        <v>0</v>
      </c>
      <c r="D1165" s="89"/>
      <c r="E1165" s="91">
        <v>13792</v>
      </c>
      <c r="F1165" s="88">
        <v>4</v>
      </c>
      <c r="G1165" s="89" t="s">
        <v>586</v>
      </c>
      <c r="H1165" s="89" t="s">
        <v>587</v>
      </c>
      <c r="I1165" s="89" t="s">
        <v>588</v>
      </c>
      <c r="J1165" s="89" t="s">
        <v>589</v>
      </c>
      <c r="K1165" s="89" t="str">
        <f>"00047014"</f>
        <v>00047014</v>
      </c>
    </row>
    <row r="1166" spans="1:11" ht="99.75" x14ac:dyDescent="0.25">
      <c r="A1166" s="88">
        <v>108</v>
      </c>
      <c r="B1166" s="89" t="s">
        <v>2691</v>
      </c>
      <c r="C1166" s="88" t="s">
        <v>0</v>
      </c>
      <c r="D1166" s="89"/>
      <c r="E1166" s="91">
        <v>14676</v>
      </c>
      <c r="F1166" s="88">
        <v>4</v>
      </c>
      <c r="G1166" s="89" t="s">
        <v>2692</v>
      </c>
      <c r="H1166" s="89" t="s">
        <v>2693</v>
      </c>
      <c r="I1166" s="89" t="s">
        <v>66</v>
      </c>
      <c r="J1166" s="89" t="s">
        <v>125</v>
      </c>
      <c r="K1166" s="89" t="str">
        <f>"00052124"</f>
        <v>00052124</v>
      </c>
    </row>
    <row r="1167" spans="1:11" ht="71.25" x14ac:dyDescent="0.25">
      <c r="A1167" s="88">
        <v>108</v>
      </c>
      <c r="B1167" s="89" t="s">
        <v>2684</v>
      </c>
      <c r="C1167" s="88" t="s">
        <v>0</v>
      </c>
      <c r="D1167" s="89"/>
      <c r="E1167" s="91">
        <v>3226</v>
      </c>
      <c r="F1167" s="88">
        <v>4</v>
      </c>
      <c r="G1167" s="89" t="s">
        <v>2685</v>
      </c>
      <c r="H1167" s="89" t="s">
        <v>2382</v>
      </c>
      <c r="I1167" s="89" t="s">
        <v>746</v>
      </c>
      <c r="J1167" s="89" t="s">
        <v>2686</v>
      </c>
      <c r="K1167" s="89" t="str">
        <f>"00049383"</f>
        <v>00049383</v>
      </c>
    </row>
    <row r="1168" spans="1:11" ht="71.25" x14ac:dyDescent="0.25">
      <c r="A1168" s="88">
        <v>108</v>
      </c>
      <c r="B1168" s="89" t="s">
        <v>2684</v>
      </c>
      <c r="C1168" s="88" t="s">
        <v>0</v>
      </c>
      <c r="D1168" s="89"/>
      <c r="E1168" s="91">
        <v>3226</v>
      </c>
      <c r="F1168" s="88">
        <v>4</v>
      </c>
      <c r="G1168" s="89" t="s">
        <v>2685</v>
      </c>
      <c r="H1168" s="89" t="s">
        <v>2382</v>
      </c>
      <c r="I1168" s="89" t="s">
        <v>746</v>
      </c>
      <c r="J1168" s="89" t="s">
        <v>2686</v>
      </c>
      <c r="K1168" s="89" t="str">
        <f>"00049295"</f>
        <v>00049295</v>
      </c>
    </row>
    <row r="1169" spans="1:11" ht="71.25" x14ac:dyDescent="0.25">
      <c r="A1169" s="88">
        <v>108</v>
      </c>
      <c r="B1169" s="89" t="s">
        <v>2679</v>
      </c>
      <c r="C1169" s="88" t="s">
        <v>0</v>
      </c>
      <c r="D1169" s="89"/>
      <c r="E1169" s="91">
        <v>78204</v>
      </c>
      <c r="F1169" s="88">
        <v>4</v>
      </c>
      <c r="G1169" s="89" t="s">
        <v>2680</v>
      </c>
      <c r="H1169" s="89" t="s">
        <v>2681</v>
      </c>
      <c r="I1169" s="89" t="s">
        <v>106</v>
      </c>
      <c r="J1169" s="89" t="s">
        <v>2682</v>
      </c>
      <c r="K1169" s="89" t="s">
        <v>6608</v>
      </c>
    </row>
    <row r="1170" spans="1:11" ht="71.25" x14ac:dyDescent="0.25">
      <c r="A1170" s="88">
        <v>108</v>
      </c>
      <c r="B1170" s="89" t="s">
        <v>2679</v>
      </c>
      <c r="C1170" s="88" t="s">
        <v>0</v>
      </c>
      <c r="D1170" s="89"/>
      <c r="E1170" s="91">
        <v>100000</v>
      </c>
      <c r="F1170" s="88">
        <v>4</v>
      </c>
      <c r="G1170" s="89" t="s">
        <v>2680</v>
      </c>
      <c r="H1170" s="89" t="s">
        <v>2683</v>
      </c>
      <c r="I1170" s="89" t="s">
        <v>106</v>
      </c>
      <c r="J1170" s="89" t="s">
        <v>1492</v>
      </c>
      <c r="K1170" s="89" t="s">
        <v>5914</v>
      </c>
    </row>
    <row r="1171" spans="1:11" ht="42.75" x14ac:dyDescent="0.25">
      <c r="A1171" s="88">
        <v>108</v>
      </c>
      <c r="B1171" s="89" t="s">
        <v>2687</v>
      </c>
      <c r="C1171" s="88" t="s">
        <v>0</v>
      </c>
      <c r="D1171" s="89"/>
      <c r="E1171" s="91">
        <v>64599</v>
      </c>
      <c r="F1171" s="88">
        <v>4</v>
      </c>
      <c r="G1171" s="89" t="s">
        <v>2688</v>
      </c>
      <c r="H1171" s="89" t="s">
        <v>2689</v>
      </c>
      <c r="I1171" s="89" t="s">
        <v>135</v>
      </c>
      <c r="J1171" s="89" t="s">
        <v>2690</v>
      </c>
      <c r="K1171" s="89" t="str">
        <f>"00051397"</f>
        <v>00051397</v>
      </c>
    </row>
    <row r="1172" spans="1:11" ht="42.75" x14ac:dyDescent="0.25">
      <c r="A1172" s="88">
        <v>108</v>
      </c>
      <c r="B1172" s="89" t="s">
        <v>570</v>
      </c>
      <c r="C1172" s="88" t="s">
        <v>0</v>
      </c>
      <c r="D1172" s="89"/>
      <c r="E1172" s="91">
        <v>23463</v>
      </c>
      <c r="F1172" s="88">
        <v>4</v>
      </c>
      <c r="G1172" s="89" t="s">
        <v>574</v>
      </c>
      <c r="H1172" s="89" t="s">
        <v>575</v>
      </c>
      <c r="I1172" s="89" t="s">
        <v>66</v>
      </c>
      <c r="J1172" s="89" t="s">
        <v>302</v>
      </c>
      <c r="K1172" s="89" t="str">
        <f>"00047054"</f>
        <v>00047054</v>
      </c>
    </row>
    <row r="1173" spans="1:11" ht="71.25" x14ac:dyDescent="0.25">
      <c r="A1173" s="88">
        <v>108</v>
      </c>
      <c r="B1173" s="89" t="s">
        <v>2697</v>
      </c>
      <c r="C1173" s="88" t="s">
        <v>0</v>
      </c>
      <c r="D1173" s="89"/>
      <c r="E1173" s="91">
        <v>19459</v>
      </c>
      <c r="F1173" s="88">
        <v>4</v>
      </c>
      <c r="G1173" s="89" t="s">
        <v>2698</v>
      </c>
      <c r="H1173" s="89" t="s">
        <v>2699</v>
      </c>
      <c r="I1173" s="89" t="s">
        <v>161</v>
      </c>
      <c r="J1173" s="89" t="s">
        <v>2700</v>
      </c>
      <c r="K1173" s="89" t="s">
        <v>6021</v>
      </c>
    </row>
    <row r="1174" spans="1:11" ht="42.75" x14ac:dyDescent="0.25">
      <c r="A1174" s="88">
        <v>108</v>
      </c>
      <c r="B1174" s="89" t="s">
        <v>5452</v>
      </c>
      <c r="C1174" s="88" t="s">
        <v>0</v>
      </c>
      <c r="D1174" s="89"/>
      <c r="E1174" s="91">
        <v>45000</v>
      </c>
      <c r="F1174" s="88">
        <v>4</v>
      </c>
      <c r="G1174" s="89" t="s">
        <v>5452</v>
      </c>
      <c r="H1174" s="89" t="s">
        <v>5453</v>
      </c>
      <c r="I1174" s="89" t="s">
        <v>17</v>
      </c>
      <c r="J1174" s="89" t="s">
        <v>2440</v>
      </c>
      <c r="K1174" s="89" t="str">
        <f>"00048194"</f>
        <v>00048194</v>
      </c>
    </row>
    <row r="1175" spans="1:11" ht="71.25" x14ac:dyDescent="0.25">
      <c r="A1175" s="88">
        <v>108</v>
      </c>
      <c r="B1175" s="89" t="s">
        <v>590</v>
      </c>
      <c r="C1175" s="88" t="s">
        <v>0</v>
      </c>
      <c r="D1175" s="89"/>
      <c r="E1175" s="91">
        <v>247863</v>
      </c>
      <c r="F1175" s="88">
        <v>4</v>
      </c>
      <c r="G1175" s="89" t="s">
        <v>591</v>
      </c>
      <c r="H1175" s="89" t="s">
        <v>592</v>
      </c>
      <c r="I1175" s="89" t="s">
        <v>32</v>
      </c>
      <c r="J1175" s="89" t="s">
        <v>33</v>
      </c>
      <c r="K1175" s="89" t="s">
        <v>6607</v>
      </c>
    </row>
    <row r="1176" spans="1:11" ht="57" x14ac:dyDescent="0.25">
      <c r="A1176" s="88">
        <v>108</v>
      </c>
      <c r="B1176" s="89" t="s">
        <v>2694</v>
      </c>
      <c r="C1176" s="88" t="s">
        <v>0</v>
      </c>
      <c r="D1176" s="89"/>
      <c r="E1176" s="91">
        <v>45000</v>
      </c>
      <c r="F1176" s="88">
        <v>4</v>
      </c>
      <c r="G1176" s="89" t="s">
        <v>2695</v>
      </c>
      <c r="H1176" s="89" t="s">
        <v>2696</v>
      </c>
      <c r="I1176" s="89" t="s">
        <v>135</v>
      </c>
      <c r="J1176" s="89" t="s">
        <v>2690</v>
      </c>
      <c r="K1176" s="89" t="str">
        <f>"00049658"</f>
        <v>00049658</v>
      </c>
    </row>
    <row r="1177" spans="1:11" ht="28.5" x14ac:dyDescent="0.25">
      <c r="A1177" s="88">
        <v>108</v>
      </c>
      <c r="B1177" s="89" t="s">
        <v>26</v>
      </c>
      <c r="C1177" s="88" t="s">
        <v>0</v>
      </c>
      <c r="D1177" s="94">
        <v>445000</v>
      </c>
      <c r="E1177" s="32"/>
      <c r="F1177" s="88">
        <v>4</v>
      </c>
      <c r="G1177" s="89" t="s">
        <v>29</v>
      </c>
      <c r="H1177" s="89"/>
      <c r="I1177" s="89" t="s">
        <v>14</v>
      </c>
      <c r="J1177" s="89"/>
      <c r="K1177" s="89" t="str">
        <f>"　"</f>
        <v>　</v>
      </c>
    </row>
    <row r="1178" spans="1:11" ht="42.75" x14ac:dyDescent="0.25">
      <c r="A1178" s="88">
        <v>108</v>
      </c>
      <c r="B1178" s="89" t="s">
        <v>26</v>
      </c>
      <c r="C1178" s="88" t="s">
        <v>0</v>
      </c>
      <c r="D1178" s="89"/>
      <c r="E1178" s="91">
        <v>137281</v>
      </c>
      <c r="F1178" s="88">
        <v>4</v>
      </c>
      <c r="G1178" s="89" t="s">
        <v>29</v>
      </c>
      <c r="H1178" s="89" t="s">
        <v>1429</v>
      </c>
      <c r="I1178" s="89" t="s">
        <v>135</v>
      </c>
      <c r="J1178" s="89" t="s">
        <v>1430</v>
      </c>
      <c r="K1178" s="89" t="str">
        <f>"00048363"</f>
        <v>00048363</v>
      </c>
    </row>
    <row r="1179" spans="1:11" ht="28.5" x14ac:dyDescent="0.25">
      <c r="A1179" s="88">
        <v>108</v>
      </c>
      <c r="B1179" s="89" t="s">
        <v>26</v>
      </c>
      <c r="C1179" s="88" t="s">
        <v>0</v>
      </c>
      <c r="D1179" s="94">
        <v>700000</v>
      </c>
      <c r="E1179" s="28"/>
      <c r="F1179" s="88">
        <v>4</v>
      </c>
      <c r="G1179" s="89" t="s">
        <v>29</v>
      </c>
      <c r="H1179" s="89"/>
      <c r="I1179" s="89" t="s">
        <v>14</v>
      </c>
      <c r="J1179" s="89"/>
      <c r="K1179" s="89" t="str">
        <f>"　"</f>
        <v>　</v>
      </c>
    </row>
    <row r="1180" spans="1:11" ht="57" x14ac:dyDescent="0.25">
      <c r="A1180" s="88">
        <v>108</v>
      </c>
      <c r="B1180" s="89" t="s">
        <v>26</v>
      </c>
      <c r="C1180" s="88" t="s">
        <v>0</v>
      </c>
      <c r="D1180" s="89"/>
      <c r="E1180" s="91">
        <v>187008</v>
      </c>
      <c r="F1180" s="88">
        <v>4</v>
      </c>
      <c r="G1180" s="89" t="s">
        <v>34</v>
      </c>
      <c r="H1180" s="89" t="s">
        <v>35</v>
      </c>
      <c r="I1180" s="89" t="s">
        <v>32</v>
      </c>
      <c r="J1180" s="89" t="s">
        <v>36</v>
      </c>
      <c r="K1180" s="89" t="str">
        <f>"00045921"</f>
        <v>00045921</v>
      </c>
    </row>
    <row r="1181" spans="1:11" ht="57" x14ac:dyDescent="0.25">
      <c r="A1181" s="88">
        <v>108</v>
      </c>
      <c r="B1181" s="89" t="s">
        <v>26</v>
      </c>
      <c r="C1181" s="88" t="s">
        <v>0</v>
      </c>
      <c r="D1181" s="89"/>
      <c r="E1181" s="91">
        <v>133301</v>
      </c>
      <c r="F1181" s="88">
        <v>4</v>
      </c>
      <c r="G1181" s="89" t="s">
        <v>1457</v>
      </c>
      <c r="H1181" s="89" t="s">
        <v>1458</v>
      </c>
      <c r="I1181" s="89" t="s">
        <v>32</v>
      </c>
      <c r="J1181" s="89" t="s">
        <v>36</v>
      </c>
      <c r="K1181" s="89" t="str">
        <f>"00046714"</f>
        <v>00046714</v>
      </c>
    </row>
    <row r="1182" spans="1:11" ht="57" x14ac:dyDescent="0.25">
      <c r="A1182" s="88">
        <v>108</v>
      </c>
      <c r="B1182" s="89" t="s">
        <v>26</v>
      </c>
      <c r="C1182" s="88" t="s">
        <v>0</v>
      </c>
      <c r="D1182" s="89"/>
      <c r="E1182" s="91">
        <v>135142</v>
      </c>
      <c r="F1182" s="88">
        <v>4</v>
      </c>
      <c r="G1182" s="89" t="s">
        <v>1455</v>
      </c>
      <c r="H1182" s="89" t="s">
        <v>1456</v>
      </c>
      <c r="I1182" s="89" t="s">
        <v>32</v>
      </c>
      <c r="J1182" s="89" t="s">
        <v>33</v>
      </c>
      <c r="K1182" s="89" t="str">
        <f>"00047677"</f>
        <v>00047677</v>
      </c>
    </row>
    <row r="1183" spans="1:11" ht="57" x14ac:dyDescent="0.25">
      <c r="A1183" s="88">
        <v>108</v>
      </c>
      <c r="B1183" s="89" t="s">
        <v>26</v>
      </c>
      <c r="C1183" s="88" t="s">
        <v>0</v>
      </c>
      <c r="D1183" s="89"/>
      <c r="E1183" s="91">
        <v>89166</v>
      </c>
      <c r="F1183" s="88">
        <v>4</v>
      </c>
      <c r="G1183" s="89" t="s">
        <v>30</v>
      </c>
      <c r="H1183" s="89" t="s">
        <v>31</v>
      </c>
      <c r="I1183" s="89" t="s">
        <v>32</v>
      </c>
      <c r="J1183" s="89" t="s">
        <v>33</v>
      </c>
      <c r="K1183" s="89" t="str">
        <f>"00047628"</f>
        <v>00047628</v>
      </c>
    </row>
    <row r="1184" spans="1:11" ht="85.5" x14ac:dyDescent="0.25">
      <c r="A1184" s="88">
        <v>108</v>
      </c>
      <c r="B1184" s="89" t="s">
        <v>26</v>
      </c>
      <c r="C1184" s="88" t="s">
        <v>0</v>
      </c>
      <c r="D1184" s="89"/>
      <c r="E1184" s="91">
        <v>50773</v>
      </c>
      <c r="F1184" s="88">
        <v>4</v>
      </c>
      <c r="G1184" s="89" t="s">
        <v>1454</v>
      </c>
      <c r="H1184" s="89" t="s">
        <v>1450</v>
      </c>
      <c r="I1184" s="89" t="s">
        <v>66</v>
      </c>
      <c r="J1184" s="89" t="s">
        <v>1451</v>
      </c>
      <c r="K1184" s="89" t="str">
        <f>"00050827"</f>
        <v>00050827</v>
      </c>
    </row>
    <row r="1185" spans="1:11" ht="71.25" x14ac:dyDescent="0.25">
      <c r="A1185" s="88">
        <v>108</v>
      </c>
      <c r="B1185" s="89" t="s">
        <v>26</v>
      </c>
      <c r="C1185" s="88" t="s">
        <v>0</v>
      </c>
      <c r="D1185" s="89"/>
      <c r="E1185" s="91">
        <v>13600</v>
      </c>
      <c r="F1185" s="88">
        <v>4</v>
      </c>
      <c r="G1185" s="89" t="s">
        <v>1437</v>
      </c>
      <c r="H1185" s="89" t="s">
        <v>1459</v>
      </c>
      <c r="I1185" s="89" t="s">
        <v>66</v>
      </c>
      <c r="J1185" s="89" t="s">
        <v>1439</v>
      </c>
      <c r="K1185" s="89" t="str">
        <f>"00050854"</f>
        <v>00050854</v>
      </c>
    </row>
    <row r="1186" spans="1:11" ht="85.5" x14ac:dyDescent="0.25">
      <c r="A1186" s="88">
        <v>108</v>
      </c>
      <c r="B1186" s="89" t="s">
        <v>26</v>
      </c>
      <c r="C1186" s="88" t="s">
        <v>0</v>
      </c>
      <c r="D1186" s="89"/>
      <c r="E1186" s="91">
        <v>47312</v>
      </c>
      <c r="F1186" s="88">
        <v>4</v>
      </c>
      <c r="G1186" s="89" t="s">
        <v>1449</v>
      </c>
      <c r="H1186" s="89" t="s">
        <v>1450</v>
      </c>
      <c r="I1186" s="89" t="s">
        <v>66</v>
      </c>
      <c r="J1186" s="89" t="s">
        <v>1451</v>
      </c>
      <c r="K1186" s="89" t="str">
        <f>"00050859"</f>
        <v>00050859</v>
      </c>
    </row>
    <row r="1187" spans="1:11" ht="57" x14ac:dyDescent="0.25">
      <c r="A1187" s="88">
        <v>108</v>
      </c>
      <c r="B1187" s="89" t="s">
        <v>26</v>
      </c>
      <c r="C1187" s="88" t="s">
        <v>0</v>
      </c>
      <c r="D1187" s="89"/>
      <c r="E1187" s="91">
        <v>17300</v>
      </c>
      <c r="F1187" s="88">
        <v>4</v>
      </c>
      <c r="G1187" s="89" t="s">
        <v>1453</v>
      </c>
      <c r="H1187" s="89" t="s">
        <v>1438</v>
      </c>
      <c r="I1187" s="89" t="s">
        <v>66</v>
      </c>
      <c r="J1187" s="89" t="s">
        <v>1439</v>
      </c>
      <c r="K1187" s="89" t="str">
        <f>"00050865"</f>
        <v>00050865</v>
      </c>
    </row>
    <row r="1188" spans="1:11" ht="71.25" x14ac:dyDescent="0.25">
      <c r="A1188" s="88">
        <v>108</v>
      </c>
      <c r="B1188" s="89" t="s">
        <v>26</v>
      </c>
      <c r="C1188" s="88" t="s">
        <v>0</v>
      </c>
      <c r="D1188" s="89"/>
      <c r="E1188" s="91">
        <v>10670</v>
      </c>
      <c r="F1188" s="88">
        <v>4</v>
      </c>
      <c r="G1188" s="89" t="s">
        <v>1437</v>
      </c>
      <c r="H1188" s="89" t="s">
        <v>1452</v>
      </c>
      <c r="I1188" s="89" t="s">
        <v>66</v>
      </c>
      <c r="J1188" s="89" t="s">
        <v>1439</v>
      </c>
      <c r="K1188" s="89" t="str">
        <f>"00051378"</f>
        <v>00051378</v>
      </c>
    </row>
    <row r="1189" spans="1:11" ht="71.25" x14ac:dyDescent="0.25">
      <c r="A1189" s="88">
        <v>108</v>
      </c>
      <c r="B1189" s="89" t="s">
        <v>26</v>
      </c>
      <c r="C1189" s="88" t="s">
        <v>0</v>
      </c>
      <c r="D1189" s="89"/>
      <c r="E1189" s="91">
        <v>13600</v>
      </c>
      <c r="F1189" s="88">
        <v>4</v>
      </c>
      <c r="G1189" s="89" t="s">
        <v>1437</v>
      </c>
      <c r="H1189" s="89" t="s">
        <v>1459</v>
      </c>
      <c r="I1189" s="89" t="s">
        <v>66</v>
      </c>
      <c r="J1189" s="89" t="s">
        <v>1439</v>
      </c>
      <c r="K1189" s="89" t="str">
        <f>"00050846"</f>
        <v>00050846</v>
      </c>
    </row>
    <row r="1190" spans="1:11" ht="42.75" x14ac:dyDescent="0.25">
      <c r="A1190" s="83">
        <v>108</v>
      </c>
      <c r="B1190" s="84" t="s">
        <v>26</v>
      </c>
      <c r="C1190" s="83" t="s">
        <v>2</v>
      </c>
      <c r="D1190" s="84" t="s">
        <v>5454</v>
      </c>
      <c r="E1190" s="85">
        <v>74287</v>
      </c>
      <c r="F1190" s="83">
        <v>4</v>
      </c>
      <c r="G1190" s="84" t="s">
        <v>5455</v>
      </c>
      <c r="H1190" s="84" t="s">
        <v>5456</v>
      </c>
      <c r="I1190" s="84" t="s">
        <v>4891</v>
      </c>
      <c r="J1190" s="84" t="s">
        <v>4892</v>
      </c>
      <c r="K1190" s="84" t="str">
        <f>"00050100"</f>
        <v>00050100</v>
      </c>
    </row>
    <row r="1191" spans="1:11" x14ac:dyDescent="0.25">
      <c r="A1191" s="88">
        <v>108</v>
      </c>
      <c r="B1191" s="89" t="s">
        <v>26</v>
      </c>
      <c r="C1191" s="88" t="s">
        <v>0</v>
      </c>
      <c r="D1191" s="94">
        <v>200000</v>
      </c>
      <c r="E1191" s="32"/>
      <c r="F1191" s="88">
        <v>4</v>
      </c>
      <c r="G1191" s="89" t="s">
        <v>37</v>
      </c>
      <c r="H1191" s="89"/>
      <c r="I1191" s="89" t="s">
        <v>38</v>
      </c>
      <c r="J1191" s="89"/>
      <c r="K1191" s="89" t="str">
        <f>"　"</f>
        <v>　</v>
      </c>
    </row>
    <row r="1192" spans="1:11" ht="42.75" x14ac:dyDescent="0.25">
      <c r="A1192" s="88">
        <v>108</v>
      </c>
      <c r="B1192" s="89" t="s">
        <v>26</v>
      </c>
      <c r="C1192" s="88" t="s">
        <v>0</v>
      </c>
      <c r="D1192" s="89"/>
      <c r="E1192" s="91">
        <v>90714</v>
      </c>
      <c r="F1192" s="88">
        <v>4</v>
      </c>
      <c r="G1192" s="89" t="s">
        <v>42</v>
      </c>
      <c r="H1192" s="89" t="s">
        <v>43</v>
      </c>
      <c r="I1192" s="89" t="s">
        <v>32</v>
      </c>
      <c r="J1192" s="89" t="s">
        <v>44</v>
      </c>
      <c r="K1192" s="89" t="str">
        <f>"00048875"</f>
        <v>00048875</v>
      </c>
    </row>
    <row r="1193" spans="1:11" ht="42.75" x14ac:dyDescent="0.25">
      <c r="A1193" s="88">
        <v>108</v>
      </c>
      <c r="B1193" s="89" t="s">
        <v>26</v>
      </c>
      <c r="C1193" s="88" t="s">
        <v>0</v>
      </c>
      <c r="D1193" s="89"/>
      <c r="E1193" s="91">
        <v>90000</v>
      </c>
      <c r="F1193" s="88">
        <v>4</v>
      </c>
      <c r="G1193" s="89" t="s">
        <v>42</v>
      </c>
      <c r="H1193" s="89" t="s">
        <v>43</v>
      </c>
      <c r="I1193" s="89" t="s">
        <v>32</v>
      </c>
      <c r="J1193" s="89" t="s">
        <v>44</v>
      </c>
      <c r="K1193" s="89" t="str">
        <f>"00048329"</f>
        <v>00048329</v>
      </c>
    </row>
    <row r="1194" spans="1:11" ht="42.75" x14ac:dyDescent="0.25">
      <c r="A1194" s="88">
        <v>108</v>
      </c>
      <c r="B1194" s="89" t="s">
        <v>26</v>
      </c>
      <c r="C1194" s="88" t="s">
        <v>0</v>
      </c>
      <c r="D1194" s="89"/>
      <c r="E1194" s="91">
        <v>91711</v>
      </c>
      <c r="F1194" s="88">
        <v>4</v>
      </c>
      <c r="G1194" s="89" t="s">
        <v>42</v>
      </c>
      <c r="H1194" s="89" t="s">
        <v>1460</v>
      </c>
      <c r="I1194" s="89" t="s">
        <v>32</v>
      </c>
      <c r="J1194" s="89" t="s">
        <v>44</v>
      </c>
      <c r="K1194" s="89" t="str">
        <f>"00048862"</f>
        <v>00048862</v>
      </c>
    </row>
    <row r="1195" spans="1:11" ht="42.75" x14ac:dyDescent="0.25">
      <c r="A1195" s="88">
        <v>108</v>
      </c>
      <c r="B1195" s="89" t="s">
        <v>26</v>
      </c>
      <c r="C1195" s="88" t="s">
        <v>0</v>
      </c>
      <c r="D1195" s="89"/>
      <c r="E1195" s="91">
        <v>90000</v>
      </c>
      <c r="F1195" s="88">
        <v>4</v>
      </c>
      <c r="G1195" s="89" t="s">
        <v>39</v>
      </c>
      <c r="H1195" s="89" t="s">
        <v>40</v>
      </c>
      <c r="I1195" s="89" t="s">
        <v>32</v>
      </c>
      <c r="J1195" s="89" t="s">
        <v>41</v>
      </c>
      <c r="K1195" s="89" t="str">
        <f>"00048774"</f>
        <v>00048774</v>
      </c>
    </row>
    <row r="1196" spans="1:11" ht="42.75" x14ac:dyDescent="0.25">
      <c r="A1196" s="88">
        <v>108</v>
      </c>
      <c r="B1196" s="89" t="s">
        <v>26</v>
      </c>
      <c r="C1196" s="88" t="s">
        <v>0</v>
      </c>
      <c r="D1196" s="89"/>
      <c r="E1196" s="91">
        <v>90000</v>
      </c>
      <c r="F1196" s="88">
        <v>4</v>
      </c>
      <c r="G1196" s="89" t="s">
        <v>42</v>
      </c>
      <c r="H1196" s="89" t="s">
        <v>43</v>
      </c>
      <c r="I1196" s="89" t="s">
        <v>32</v>
      </c>
      <c r="J1196" s="89" t="s">
        <v>44</v>
      </c>
      <c r="K1196" s="89" t="str">
        <f>"00048877"</f>
        <v>00048877</v>
      </c>
    </row>
    <row r="1197" spans="1:11" ht="42.75" x14ac:dyDescent="0.25">
      <c r="A1197" s="88">
        <v>108</v>
      </c>
      <c r="B1197" s="89" t="s">
        <v>26</v>
      </c>
      <c r="C1197" s="88" t="s">
        <v>0</v>
      </c>
      <c r="D1197" s="89"/>
      <c r="E1197" s="91">
        <v>124655</v>
      </c>
      <c r="F1197" s="88">
        <v>4</v>
      </c>
      <c r="G1197" s="89" t="s">
        <v>1461</v>
      </c>
      <c r="H1197" s="89" t="s">
        <v>1462</v>
      </c>
      <c r="I1197" s="89" t="s">
        <v>763</v>
      </c>
      <c r="J1197" s="89" t="s">
        <v>1463</v>
      </c>
      <c r="K1197" s="89" t="str">
        <f>"00048328"</f>
        <v>00048328</v>
      </c>
    </row>
    <row r="1198" spans="1:11" ht="114" x14ac:dyDescent="0.25">
      <c r="A1198" s="88">
        <v>108</v>
      </c>
      <c r="B1198" s="89" t="s">
        <v>26</v>
      </c>
      <c r="C1198" s="88" t="s">
        <v>0</v>
      </c>
      <c r="D1198" s="89"/>
      <c r="E1198" s="91">
        <v>259557</v>
      </c>
      <c r="F1198" s="88">
        <v>4</v>
      </c>
      <c r="G1198" s="89" t="s">
        <v>1464</v>
      </c>
      <c r="H1198" s="89" t="s">
        <v>1465</v>
      </c>
      <c r="I1198" s="89" t="s">
        <v>32</v>
      </c>
      <c r="J1198" s="89" t="s">
        <v>1466</v>
      </c>
      <c r="K1198" s="89" t="str">
        <f>"00048993"</f>
        <v>00048993</v>
      </c>
    </row>
    <row r="1199" spans="1:11" ht="42.75" x14ac:dyDescent="0.25">
      <c r="A1199" s="88">
        <v>108</v>
      </c>
      <c r="B1199" s="89" t="s">
        <v>26</v>
      </c>
      <c r="C1199" s="88" t="s">
        <v>0</v>
      </c>
      <c r="D1199" s="89"/>
      <c r="E1199" s="91">
        <v>90000</v>
      </c>
      <c r="F1199" s="88">
        <v>4</v>
      </c>
      <c r="G1199" s="89" t="s">
        <v>42</v>
      </c>
      <c r="H1199" s="89" t="s">
        <v>1467</v>
      </c>
      <c r="I1199" s="89" t="s">
        <v>32</v>
      </c>
      <c r="J1199" s="89" t="s">
        <v>44</v>
      </c>
      <c r="K1199" s="89" t="str">
        <f>"00048994"</f>
        <v>00048994</v>
      </c>
    </row>
    <row r="1200" spans="1:11" ht="42.75" x14ac:dyDescent="0.25">
      <c r="A1200" s="88">
        <v>108</v>
      </c>
      <c r="B1200" s="89" t="s">
        <v>26</v>
      </c>
      <c r="C1200" s="88" t="s">
        <v>0</v>
      </c>
      <c r="D1200" s="89"/>
      <c r="E1200" s="91">
        <v>126851</v>
      </c>
      <c r="F1200" s="88">
        <v>4</v>
      </c>
      <c r="G1200" s="89" t="s">
        <v>1468</v>
      </c>
      <c r="H1200" s="89" t="s">
        <v>1462</v>
      </c>
      <c r="I1200" s="89" t="s">
        <v>763</v>
      </c>
      <c r="J1200" s="89" t="s">
        <v>1463</v>
      </c>
      <c r="K1200" s="89" t="str">
        <f>"00048350"</f>
        <v>00048350</v>
      </c>
    </row>
    <row r="1201" spans="1:11" x14ac:dyDescent="0.25">
      <c r="A1201" s="88">
        <v>108</v>
      </c>
      <c r="B1201" s="89" t="s">
        <v>26</v>
      </c>
      <c r="C1201" s="88" t="s">
        <v>0</v>
      </c>
      <c r="D1201" s="94">
        <v>200000</v>
      </c>
      <c r="E1201" s="28"/>
      <c r="F1201" s="88">
        <v>4</v>
      </c>
      <c r="G1201" s="89" t="s">
        <v>37</v>
      </c>
      <c r="H1201" s="89"/>
      <c r="I1201" s="89" t="s">
        <v>38</v>
      </c>
      <c r="J1201" s="89"/>
      <c r="K1201" s="89" t="str">
        <f>"　"</f>
        <v>　</v>
      </c>
    </row>
    <row r="1202" spans="1:11" ht="57" x14ac:dyDescent="0.25">
      <c r="A1202" s="88">
        <v>108</v>
      </c>
      <c r="B1202" s="89" t="s">
        <v>26</v>
      </c>
      <c r="C1202" s="88" t="s">
        <v>0</v>
      </c>
      <c r="D1202" s="89"/>
      <c r="E1202" s="91">
        <v>101170</v>
      </c>
      <c r="F1202" s="88">
        <v>4</v>
      </c>
      <c r="G1202" s="89" t="s">
        <v>45</v>
      </c>
      <c r="H1202" s="89" t="s">
        <v>46</v>
      </c>
      <c r="I1202" s="89" t="s">
        <v>32</v>
      </c>
      <c r="J1202" s="89" t="s">
        <v>47</v>
      </c>
      <c r="K1202" s="89" t="str">
        <f>"00047704"</f>
        <v>00047704</v>
      </c>
    </row>
    <row r="1203" spans="1:11" ht="42.75" x14ac:dyDescent="0.25">
      <c r="A1203" s="88">
        <v>108</v>
      </c>
      <c r="B1203" s="89" t="s">
        <v>26</v>
      </c>
      <c r="C1203" s="88" t="s">
        <v>0</v>
      </c>
      <c r="D1203" s="89"/>
      <c r="E1203" s="91">
        <v>90000</v>
      </c>
      <c r="F1203" s="88">
        <v>4</v>
      </c>
      <c r="G1203" s="89" t="s">
        <v>42</v>
      </c>
      <c r="H1203" s="89" t="s">
        <v>43</v>
      </c>
      <c r="I1203" s="89" t="s">
        <v>32</v>
      </c>
      <c r="J1203" s="89" t="s">
        <v>44</v>
      </c>
      <c r="K1203" s="89" t="str">
        <f>"00048937"</f>
        <v>00048937</v>
      </c>
    </row>
    <row r="1204" spans="1:11" ht="28.5" x14ac:dyDescent="0.25">
      <c r="A1204" s="88">
        <v>108</v>
      </c>
      <c r="B1204" s="89" t="s">
        <v>26</v>
      </c>
      <c r="C1204" s="88" t="s">
        <v>0</v>
      </c>
      <c r="D1204" s="94">
        <v>600000</v>
      </c>
      <c r="E1204" s="91"/>
      <c r="F1204" s="88">
        <v>4</v>
      </c>
      <c r="G1204" s="89" t="s">
        <v>29</v>
      </c>
      <c r="H1204" s="89"/>
      <c r="I1204" s="89" t="s">
        <v>14</v>
      </c>
      <c r="J1204" s="89"/>
      <c r="K1204" s="89" t="str">
        <f>"　"</f>
        <v>　</v>
      </c>
    </row>
    <row r="1205" spans="1:11" x14ac:dyDescent="0.25">
      <c r="A1205" s="88">
        <v>108</v>
      </c>
      <c r="B1205" s="89" t="s">
        <v>26</v>
      </c>
      <c r="C1205" s="88" t="s">
        <v>0</v>
      </c>
      <c r="D1205" s="94">
        <v>200000</v>
      </c>
      <c r="E1205" s="28"/>
      <c r="F1205" s="88">
        <v>4</v>
      </c>
      <c r="G1205" s="89" t="s">
        <v>37</v>
      </c>
      <c r="H1205" s="89"/>
      <c r="I1205" s="89" t="s">
        <v>38</v>
      </c>
      <c r="J1205" s="89"/>
      <c r="K1205" s="89" t="str">
        <f>"　"</f>
        <v>　</v>
      </c>
    </row>
    <row r="1206" spans="1:11" x14ac:dyDescent="0.25">
      <c r="A1206" s="88">
        <v>108</v>
      </c>
      <c r="B1206" s="89" t="s">
        <v>26</v>
      </c>
      <c r="C1206" s="88" t="s">
        <v>0</v>
      </c>
      <c r="D1206" s="94">
        <v>200000</v>
      </c>
      <c r="E1206" s="28"/>
      <c r="F1206" s="88">
        <v>4</v>
      </c>
      <c r="G1206" s="89" t="s">
        <v>37</v>
      </c>
      <c r="H1206" s="89"/>
      <c r="I1206" s="89" t="s">
        <v>49</v>
      </c>
      <c r="J1206" s="89"/>
      <c r="K1206" s="89" t="str">
        <f>"　"</f>
        <v>　</v>
      </c>
    </row>
    <row r="1207" spans="1:11" ht="42.75" x14ac:dyDescent="0.25">
      <c r="A1207" s="88">
        <v>108</v>
      </c>
      <c r="B1207" s="89" t="s">
        <v>26</v>
      </c>
      <c r="C1207" s="88" t="s">
        <v>0</v>
      </c>
      <c r="D1207" s="89"/>
      <c r="E1207" s="91">
        <v>48275</v>
      </c>
      <c r="F1207" s="88">
        <v>4</v>
      </c>
      <c r="G1207" s="89" t="s">
        <v>847</v>
      </c>
      <c r="H1207" s="89" t="s">
        <v>848</v>
      </c>
      <c r="I1207" s="89" t="s">
        <v>849</v>
      </c>
      <c r="J1207" s="89" t="s">
        <v>850</v>
      </c>
      <c r="K1207" s="89" t="str">
        <f>"00047094"</f>
        <v>00047094</v>
      </c>
    </row>
    <row r="1208" spans="1:11" ht="42.75" x14ac:dyDescent="0.25">
      <c r="A1208" s="88">
        <v>108</v>
      </c>
      <c r="B1208" s="89" t="s">
        <v>26</v>
      </c>
      <c r="C1208" s="88" t="s">
        <v>0</v>
      </c>
      <c r="D1208" s="89"/>
      <c r="E1208" s="91">
        <v>18168</v>
      </c>
      <c r="F1208" s="88">
        <v>4</v>
      </c>
      <c r="G1208" s="89" t="s">
        <v>851</v>
      </c>
      <c r="H1208" s="89" t="s">
        <v>848</v>
      </c>
      <c r="I1208" s="89" t="s">
        <v>849</v>
      </c>
      <c r="J1208" s="89" t="s">
        <v>850</v>
      </c>
      <c r="K1208" s="89" t="str">
        <f>"00047060"</f>
        <v>00047060</v>
      </c>
    </row>
    <row r="1209" spans="1:11" x14ac:dyDescent="0.25">
      <c r="A1209" s="88">
        <v>108</v>
      </c>
      <c r="B1209" s="89" t="s">
        <v>26</v>
      </c>
      <c r="C1209" s="88" t="s">
        <v>0</v>
      </c>
      <c r="D1209" s="94">
        <v>200000</v>
      </c>
      <c r="E1209" s="32"/>
      <c r="F1209" s="88">
        <v>4</v>
      </c>
      <c r="G1209" s="89" t="s">
        <v>37</v>
      </c>
      <c r="H1209" s="89"/>
      <c r="I1209" s="89" t="s">
        <v>48</v>
      </c>
      <c r="J1209" s="89"/>
      <c r="K1209" s="89" t="str">
        <f>"　"</f>
        <v>　</v>
      </c>
    </row>
    <row r="1210" spans="1:11" x14ac:dyDescent="0.25">
      <c r="A1210" s="88">
        <v>108</v>
      </c>
      <c r="B1210" s="89" t="s">
        <v>26</v>
      </c>
      <c r="C1210" s="88" t="s">
        <v>0</v>
      </c>
      <c r="D1210" s="94">
        <v>200000</v>
      </c>
      <c r="E1210" s="28"/>
      <c r="F1210" s="88">
        <v>4</v>
      </c>
      <c r="G1210" s="89" t="s">
        <v>37</v>
      </c>
      <c r="H1210" s="89"/>
      <c r="I1210" s="89" t="s">
        <v>49</v>
      </c>
      <c r="J1210" s="89"/>
      <c r="K1210" s="89" t="str">
        <f>"　"</f>
        <v>　</v>
      </c>
    </row>
    <row r="1211" spans="1:11" ht="28.5" x14ac:dyDescent="0.25">
      <c r="A1211" s="88">
        <v>108</v>
      </c>
      <c r="B1211" s="89" t="s">
        <v>50</v>
      </c>
      <c r="C1211" s="88" t="s">
        <v>0</v>
      </c>
      <c r="D1211" s="94">
        <v>328000</v>
      </c>
      <c r="E1211" s="28"/>
      <c r="F1211" s="88">
        <v>4</v>
      </c>
      <c r="G1211" s="89" t="s">
        <v>50</v>
      </c>
      <c r="H1211" s="89"/>
      <c r="I1211" s="89" t="s">
        <v>51</v>
      </c>
      <c r="J1211" s="89"/>
      <c r="K1211" s="89" t="str">
        <f>"　"</f>
        <v>　</v>
      </c>
    </row>
    <row r="1212" spans="1:11" ht="28.5" x14ac:dyDescent="0.25">
      <c r="A1212" s="88">
        <v>108</v>
      </c>
      <c r="B1212" s="89" t="s">
        <v>12</v>
      </c>
      <c r="C1212" s="88" t="s">
        <v>0</v>
      </c>
      <c r="D1212" s="91">
        <v>75400000</v>
      </c>
      <c r="E1212" s="28"/>
      <c r="F1212" s="88">
        <v>4</v>
      </c>
      <c r="G1212" s="89" t="s">
        <v>52</v>
      </c>
      <c r="H1212" s="89"/>
      <c r="I1212" s="89" t="s">
        <v>53</v>
      </c>
      <c r="J1212" s="89"/>
      <c r="K1212" s="89" t="str">
        <f>"　"</f>
        <v>　</v>
      </c>
    </row>
    <row r="1213" spans="1:11" ht="57" x14ac:dyDescent="0.25">
      <c r="A1213" s="88">
        <v>108</v>
      </c>
      <c r="B1213" s="89" t="s">
        <v>765</v>
      </c>
      <c r="C1213" s="88" t="s">
        <v>0</v>
      </c>
      <c r="D1213" s="89"/>
      <c r="E1213" s="91">
        <v>75000</v>
      </c>
      <c r="F1213" s="88">
        <v>4</v>
      </c>
      <c r="G1213" s="89" t="s">
        <v>766</v>
      </c>
      <c r="H1213" s="89" t="s">
        <v>767</v>
      </c>
      <c r="I1213" s="89" t="s">
        <v>32</v>
      </c>
      <c r="J1213" s="89" t="s">
        <v>550</v>
      </c>
      <c r="K1213" s="89" t="s">
        <v>6606</v>
      </c>
    </row>
    <row r="1214" spans="1:11" ht="57" x14ac:dyDescent="0.25">
      <c r="A1214" s="88">
        <v>108</v>
      </c>
      <c r="B1214" s="89" t="s">
        <v>765</v>
      </c>
      <c r="C1214" s="88" t="s">
        <v>0</v>
      </c>
      <c r="D1214" s="89"/>
      <c r="E1214" s="91">
        <v>40000</v>
      </c>
      <c r="F1214" s="88">
        <v>4</v>
      </c>
      <c r="G1214" s="89" t="s">
        <v>782</v>
      </c>
      <c r="H1214" s="89" t="s">
        <v>780</v>
      </c>
      <c r="I1214" s="89" t="s">
        <v>32</v>
      </c>
      <c r="J1214" s="89" t="s">
        <v>550</v>
      </c>
      <c r="K1214" s="89" t="s">
        <v>6605</v>
      </c>
    </row>
    <row r="1215" spans="1:11" ht="99.75" x14ac:dyDescent="0.25">
      <c r="A1215" s="88">
        <v>108</v>
      </c>
      <c r="B1215" s="89" t="s">
        <v>784</v>
      </c>
      <c r="C1215" s="88" t="s">
        <v>0</v>
      </c>
      <c r="D1215" s="89"/>
      <c r="E1215" s="91">
        <v>134201</v>
      </c>
      <c r="F1215" s="88">
        <v>4</v>
      </c>
      <c r="G1215" s="89" t="s">
        <v>785</v>
      </c>
      <c r="H1215" s="89" t="s">
        <v>786</v>
      </c>
      <c r="I1215" s="89" t="s">
        <v>787</v>
      </c>
      <c r="J1215" s="89" t="s">
        <v>788</v>
      </c>
      <c r="K1215" s="89" t="str">
        <f>"00046669"</f>
        <v>00046669</v>
      </c>
    </row>
    <row r="1216" spans="1:11" ht="57" x14ac:dyDescent="0.25">
      <c r="A1216" s="88">
        <v>108</v>
      </c>
      <c r="B1216" s="89" t="s">
        <v>765</v>
      </c>
      <c r="C1216" s="88" t="s">
        <v>0</v>
      </c>
      <c r="D1216" s="89"/>
      <c r="E1216" s="91">
        <v>40000</v>
      </c>
      <c r="F1216" s="88">
        <v>4</v>
      </c>
      <c r="G1216" s="89" t="s">
        <v>779</v>
      </c>
      <c r="H1216" s="89" t="s">
        <v>780</v>
      </c>
      <c r="I1216" s="89" t="s">
        <v>32</v>
      </c>
      <c r="J1216" s="89" t="s">
        <v>550</v>
      </c>
      <c r="K1216" s="25" t="s">
        <v>5915</v>
      </c>
    </row>
    <row r="1217" spans="1:11" ht="85.5" x14ac:dyDescent="0.25">
      <c r="A1217" s="88">
        <v>108</v>
      </c>
      <c r="B1217" s="89" t="s">
        <v>775</v>
      </c>
      <c r="C1217" s="88" t="s">
        <v>0</v>
      </c>
      <c r="D1217" s="89"/>
      <c r="E1217" s="91">
        <v>75000</v>
      </c>
      <c r="F1217" s="88">
        <v>4</v>
      </c>
      <c r="G1217" s="89" t="s">
        <v>776</v>
      </c>
      <c r="H1217" s="89" t="s">
        <v>777</v>
      </c>
      <c r="I1217" s="89" t="s">
        <v>32</v>
      </c>
      <c r="J1217" s="89" t="s">
        <v>778</v>
      </c>
      <c r="K1217" s="89" t="str">
        <f>"00047620"</f>
        <v>00047620</v>
      </c>
    </row>
    <row r="1218" spans="1:11" ht="57" x14ac:dyDescent="0.25">
      <c r="A1218" s="88">
        <v>108</v>
      </c>
      <c r="B1218" s="89" t="s">
        <v>760</v>
      </c>
      <c r="C1218" s="88" t="s">
        <v>0</v>
      </c>
      <c r="D1218" s="89"/>
      <c r="E1218" s="91">
        <v>115799</v>
      </c>
      <c r="F1218" s="88">
        <v>4</v>
      </c>
      <c r="G1218" s="89" t="s">
        <v>761</v>
      </c>
      <c r="H1218" s="89" t="s">
        <v>762</v>
      </c>
      <c r="I1218" s="89" t="s">
        <v>763</v>
      </c>
      <c r="J1218" s="89" t="s">
        <v>764</v>
      </c>
      <c r="K1218" s="89" t="s">
        <v>6022</v>
      </c>
    </row>
    <row r="1219" spans="1:11" ht="57" x14ac:dyDescent="0.25">
      <c r="A1219" s="88">
        <v>108</v>
      </c>
      <c r="B1219" s="89" t="s">
        <v>3053</v>
      </c>
      <c r="C1219" s="88" t="s">
        <v>0</v>
      </c>
      <c r="D1219" s="89"/>
      <c r="E1219" s="91">
        <v>50000</v>
      </c>
      <c r="F1219" s="88">
        <v>4</v>
      </c>
      <c r="G1219" s="89" t="s">
        <v>3056</v>
      </c>
      <c r="H1219" s="89" t="s">
        <v>3057</v>
      </c>
      <c r="I1219" s="89" t="s">
        <v>32</v>
      </c>
      <c r="J1219" s="89" t="s">
        <v>33</v>
      </c>
      <c r="K1219" s="89" t="str">
        <f>"00047142"</f>
        <v>00047142</v>
      </c>
    </row>
    <row r="1220" spans="1:11" ht="57" x14ac:dyDescent="0.25">
      <c r="A1220" s="88">
        <v>108</v>
      </c>
      <c r="B1220" s="89" t="s">
        <v>771</v>
      </c>
      <c r="C1220" s="88" t="s">
        <v>0</v>
      </c>
      <c r="D1220" s="89"/>
      <c r="E1220" s="91">
        <v>106323</v>
      </c>
      <c r="F1220" s="88">
        <v>4</v>
      </c>
      <c r="G1220" s="89" t="s">
        <v>772</v>
      </c>
      <c r="H1220" s="89" t="s">
        <v>773</v>
      </c>
      <c r="I1220" s="89" t="s">
        <v>185</v>
      </c>
      <c r="J1220" s="89" t="s">
        <v>774</v>
      </c>
      <c r="K1220" s="89" t="s">
        <v>6398</v>
      </c>
    </row>
    <row r="1221" spans="1:11" ht="57" x14ac:dyDescent="0.25">
      <c r="A1221" s="88">
        <v>108</v>
      </c>
      <c r="B1221" s="89" t="s">
        <v>765</v>
      </c>
      <c r="C1221" s="88" t="s">
        <v>0</v>
      </c>
      <c r="D1221" s="89"/>
      <c r="E1221" s="91">
        <v>75000</v>
      </c>
      <c r="F1221" s="88">
        <v>4</v>
      </c>
      <c r="G1221" s="89" t="s">
        <v>783</v>
      </c>
      <c r="H1221" s="89" t="s">
        <v>780</v>
      </c>
      <c r="I1221" s="89" t="s">
        <v>32</v>
      </c>
      <c r="J1221" s="89" t="s">
        <v>550</v>
      </c>
      <c r="K1221" s="89" t="s">
        <v>6399</v>
      </c>
    </row>
    <row r="1222" spans="1:11" ht="57" x14ac:dyDescent="0.25">
      <c r="A1222" s="88">
        <v>108</v>
      </c>
      <c r="B1222" s="89" t="s">
        <v>752</v>
      </c>
      <c r="C1222" s="88" t="s">
        <v>0</v>
      </c>
      <c r="D1222" s="89"/>
      <c r="E1222" s="91">
        <v>145017</v>
      </c>
      <c r="F1222" s="88">
        <v>4</v>
      </c>
      <c r="G1222" s="89" t="s">
        <v>753</v>
      </c>
      <c r="H1222" s="89" t="s">
        <v>754</v>
      </c>
      <c r="I1222" s="89" t="s">
        <v>106</v>
      </c>
      <c r="J1222" s="89" t="s">
        <v>755</v>
      </c>
      <c r="K1222" s="89" t="s">
        <v>5916</v>
      </c>
    </row>
    <row r="1223" spans="1:11" ht="42.75" x14ac:dyDescent="0.25">
      <c r="A1223" s="88">
        <v>108</v>
      </c>
      <c r="B1223" s="89" t="s">
        <v>748</v>
      </c>
      <c r="C1223" s="88" t="s">
        <v>0</v>
      </c>
      <c r="D1223" s="89"/>
      <c r="E1223" s="91">
        <v>117989</v>
      </c>
      <c r="F1223" s="88">
        <v>4</v>
      </c>
      <c r="G1223" s="89" t="s">
        <v>749</v>
      </c>
      <c r="H1223" s="89" t="s">
        <v>750</v>
      </c>
      <c r="I1223" s="89" t="s">
        <v>32</v>
      </c>
      <c r="J1223" s="89" t="s">
        <v>751</v>
      </c>
      <c r="K1223" s="89" t="str">
        <f>"00047753"</f>
        <v>00047753</v>
      </c>
    </row>
    <row r="1224" spans="1:11" ht="57" x14ac:dyDescent="0.25">
      <c r="A1224" s="88">
        <v>108</v>
      </c>
      <c r="B1224" s="89" t="s">
        <v>756</v>
      </c>
      <c r="C1224" s="88" t="s">
        <v>0</v>
      </c>
      <c r="D1224" s="89"/>
      <c r="E1224" s="91">
        <v>42855</v>
      </c>
      <c r="F1224" s="88">
        <v>4</v>
      </c>
      <c r="G1224" s="89" t="s">
        <v>757</v>
      </c>
      <c r="H1224" s="89" t="s">
        <v>758</v>
      </c>
      <c r="I1224" s="89" t="s">
        <v>32</v>
      </c>
      <c r="J1224" s="89" t="s">
        <v>759</v>
      </c>
      <c r="K1224" s="89" t="s">
        <v>6400</v>
      </c>
    </row>
    <row r="1225" spans="1:11" ht="57" x14ac:dyDescent="0.25">
      <c r="A1225" s="88">
        <v>108</v>
      </c>
      <c r="B1225" s="89" t="s">
        <v>768</v>
      </c>
      <c r="C1225" s="88" t="s">
        <v>0</v>
      </c>
      <c r="D1225" s="89"/>
      <c r="E1225" s="91">
        <v>151788</v>
      </c>
      <c r="F1225" s="88">
        <v>4</v>
      </c>
      <c r="G1225" s="89" t="s">
        <v>769</v>
      </c>
      <c r="H1225" s="89" t="s">
        <v>770</v>
      </c>
      <c r="I1225" s="89" t="s">
        <v>32</v>
      </c>
      <c r="J1225" s="89" t="s">
        <v>33</v>
      </c>
      <c r="K1225" s="89" t="s">
        <v>6401</v>
      </c>
    </row>
    <row r="1226" spans="1:11" ht="57" x14ac:dyDescent="0.25">
      <c r="A1226" s="88">
        <v>108</v>
      </c>
      <c r="B1226" s="89" t="s">
        <v>765</v>
      </c>
      <c r="C1226" s="88" t="s">
        <v>0</v>
      </c>
      <c r="D1226" s="89"/>
      <c r="E1226" s="91">
        <v>40000</v>
      </c>
      <c r="F1226" s="88">
        <v>4</v>
      </c>
      <c r="G1226" s="89" t="s">
        <v>781</v>
      </c>
      <c r="H1226" s="89" t="s">
        <v>780</v>
      </c>
      <c r="I1226" s="89" t="s">
        <v>32</v>
      </c>
      <c r="J1226" s="89" t="s">
        <v>550</v>
      </c>
      <c r="K1226" s="89" t="s">
        <v>6023</v>
      </c>
    </row>
    <row r="1227" spans="1:11" ht="57" x14ac:dyDescent="0.25">
      <c r="A1227" s="88">
        <v>108</v>
      </c>
      <c r="B1227" s="89" t="s">
        <v>3062</v>
      </c>
      <c r="C1227" s="88" t="s">
        <v>0</v>
      </c>
      <c r="D1227" s="89"/>
      <c r="E1227" s="91">
        <v>29515</v>
      </c>
      <c r="F1227" s="88">
        <v>4</v>
      </c>
      <c r="G1227" s="89" t="s">
        <v>749</v>
      </c>
      <c r="H1227" s="89" t="s">
        <v>3063</v>
      </c>
      <c r="I1227" s="89" t="s">
        <v>3064</v>
      </c>
      <c r="J1227" s="89" t="s">
        <v>3065</v>
      </c>
      <c r="K1227" s="89" t="str">
        <f>"00049187"</f>
        <v>00049187</v>
      </c>
    </row>
    <row r="1228" spans="1:11" ht="71.25" x14ac:dyDescent="0.25">
      <c r="A1228" s="88">
        <v>108</v>
      </c>
      <c r="B1228" s="89" t="s">
        <v>3068</v>
      </c>
      <c r="C1228" s="88" t="s">
        <v>0</v>
      </c>
      <c r="D1228" s="89"/>
      <c r="E1228" s="91">
        <v>98018</v>
      </c>
      <c r="F1228" s="88">
        <v>4</v>
      </c>
      <c r="G1228" s="89" t="s">
        <v>3069</v>
      </c>
      <c r="H1228" s="89" t="s">
        <v>3070</v>
      </c>
      <c r="I1228" s="89" t="s">
        <v>32</v>
      </c>
      <c r="J1228" s="89" t="s">
        <v>423</v>
      </c>
      <c r="K1228" s="89" t="s">
        <v>6402</v>
      </c>
    </row>
    <row r="1229" spans="1:11" ht="156.75" x14ac:dyDescent="0.25">
      <c r="A1229" s="88">
        <v>108</v>
      </c>
      <c r="B1229" s="89" t="s">
        <v>3071</v>
      </c>
      <c r="C1229" s="88" t="s">
        <v>0</v>
      </c>
      <c r="D1229" s="89"/>
      <c r="E1229" s="91">
        <v>39208</v>
      </c>
      <c r="F1229" s="88">
        <v>4</v>
      </c>
      <c r="G1229" s="89" t="s">
        <v>3072</v>
      </c>
      <c r="H1229" s="89" t="s">
        <v>43</v>
      </c>
      <c r="I1229" s="89" t="s">
        <v>32</v>
      </c>
      <c r="J1229" s="89" t="s">
        <v>44</v>
      </c>
      <c r="K1229" s="89" t="str">
        <f>"00048865"</f>
        <v>00048865</v>
      </c>
    </row>
    <row r="1230" spans="1:11" ht="71.25" x14ac:dyDescent="0.25">
      <c r="A1230" s="88">
        <v>108</v>
      </c>
      <c r="B1230" s="89" t="s">
        <v>765</v>
      </c>
      <c r="C1230" s="88" t="s">
        <v>0</v>
      </c>
      <c r="D1230" s="89"/>
      <c r="E1230" s="91">
        <v>20000</v>
      </c>
      <c r="F1230" s="88">
        <v>4</v>
      </c>
      <c r="G1230" s="89" t="s">
        <v>3073</v>
      </c>
      <c r="H1230" s="89" t="s">
        <v>3074</v>
      </c>
      <c r="I1230" s="89" t="s">
        <v>32</v>
      </c>
      <c r="J1230" s="89" t="s">
        <v>294</v>
      </c>
      <c r="K1230" s="89" t="s">
        <v>5917</v>
      </c>
    </row>
    <row r="1231" spans="1:11" ht="71.25" x14ac:dyDescent="0.25">
      <c r="A1231" s="88">
        <v>108</v>
      </c>
      <c r="B1231" s="89" t="s">
        <v>3077</v>
      </c>
      <c r="C1231" s="88" t="s">
        <v>0</v>
      </c>
      <c r="D1231" s="89"/>
      <c r="E1231" s="91">
        <v>75000</v>
      </c>
      <c r="F1231" s="88">
        <v>4</v>
      </c>
      <c r="G1231" s="89" t="s">
        <v>3073</v>
      </c>
      <c r="H1231" s="89" t="s">
        <v>3074</v>
      </c>
      <c r="I1231" s="89" t="s">
        <v>32</v>
      </c>
      <c r="J1231" s="89" t="s">
        <v>294</v>
      </c>
      <c r="K1231" s="89" t="s">
        <v>5918</v>
      </c>
    </row>
    <row r="1232" spans="1:11" ht="57" x14ac:dyDescent="0.25">
      <c r="A1232" s="88">
        <v>108</v>
      </c>
      <c r="B1232" s="89" t="s">
        <v>768</v>
      </c>
      <c r="C1232" s="88" t="s">
        <v>0</v>
      </c>
      <c r="D1232" s="89"/>
      <c r="E1232" s="91">
        <v>113936</v>
      </c>
      <c r="F1232" s="88">
        <v>4</v>
      </c>
      <c r="G1232" s="89" t="s">
        <v>3058</v>
      </c>
      <c r="H1232" s="89" t="s">
        <v>2356</v>
      </c>
      <c r="I1232" s="89" t="s">
        <v>32</v>
      </c>
      <c r="J1232" s="89" t="s">
        <v>33</v>
      </c>
      <c r="K1232" s="89" t="s">
        <v>6404</v>
      </c>
    </row>
    <row r="1233" spans="1:11" ht="71.25" x14ac:dyDescent="0.25">
      <c r="A1233" s="88">
        <v>108</v>
      </c>
      <c r="B1233" s="89" t="s">
        <v>3077</v>
      </c>
      <c r="C1233" s="88" t="s">
        <v>0</v>
      </c>
      <c r="D1233" s="89"/>
      <c r="E1233" s="91">
        <v>75000</v>
      </c>
      <c r="F1233" s="88">
        <v>4</v>
      </c>
      <c r="G1233" s="89" t="s">
        <v>3078</v>
      </c>
      <c r="H1233" s="89" t="s">
        <v>3074</v>
      </c>
      <c r="I1233" s="89" t="s">
        <v>32</v>
      </c>
      <c r="J1233" s="89" t="s">
        <v>294</v>
      </c>
      <c r="K1233" s="89" t="s">
        <v>6403</v>
      </c>
    </row>
    <row r="1234" spans="1:11" ht="57" x14ac:dyDescent="0.25">
      <c r="A1234" s="88">
        <v>108</v>
      </c>
      <c r="B1234" s="89" t="s">
        <v>3059</v>
      </c>
      <c r="C1234" s="88" t="s">
        <v>0</v>
      </c>
      <c r="D1234" s="89"/>
      <c r="E1234" s="91">
        <v>99305</v>
      </c>
      <c r="F1234" s="88">
        <v>4</v>
      </c>
      <c r="G1234" s="89" t="s">
        <v>3060</v>
      </c>
      <c r="H1234" s="89" t="s">
        <v>3061</v>
      </c>
      <c r="I1234" s="89" t="s">
        <v>106</v>
      </c>
      <c r="J1234" s="89" t="s">
        <v>1492</v>
      </c>
      <c r="K1234" s="89" t="s">
        <v>6025</v>
      </c>
    </row>
    <row r="1235" spans="1:11" ht="71.25" x14ac:dyDescent="0.25">
      <c r="A1235" s="88">
        <v>108</v>
      </c>
      <c r="B1235" s="89" t="s">
        <v>765</v>
      </c>
      <c r="C1235" s="88" t="s">
        <v>0</v>
      </c>
      <c r="D1235" s="89"/>
      <c r="E1235" s="91">
        <v>20000</v>
      </c>
      <c r="F1235" s="88">
        <v>4</v>
      </c>
      <c r="G1235" s="89" t="s">
        <v>3079</v>
      </c>
      <c r="H1235" s="89" t="s">
        <v>3074</v>
      </c>
      <c r="I1235" s="89" t="s">
        <v>32</v>
      </c>
      <c r="J1235" s="89" t="s">
        <v>294</v>
      </c>
      <c r="K1235" s="89" t="s">
        <v>6024</v>
      </c>
    </row>
    <row r="1236" spans="1:11" ht="57" x14ac:dyDescent="0.25">
      <c r="A1236" s="88">
        <v>108</v>
      </c>
      <c r="B1236" s="89" t="s">
        <v>1325</v>
      </c>
      <c r="C1236" s="88" t="s">
        <v>0</v>
      </c>
      <c r="D1236" s="89"/>
      <c r="E1236" s="91">
        <v>23987</v>
      </c>
      <c r="F1236" s="88">
        <v>4</v>
      </c>
      <c r="G1236" s="89" t="s">
        <v>3075</v>
      </c>
      <c r="H1236" s="89" t="s">
        <v>3076</v>
      </c>
      <c r="I1236" s="89" t="s">
        <v>80</v>
      </c>
      <c r="J1236" s="89" t="s">
        <v>80</v>
      </c>
      <c r="K1236" s="89" t="s">
        <v>6405</v>
      </c>
    </row>
    <row r="1237" spans="1:11" ht="57" x14ac:dyDescent="0.25">
      <c r="A1237" s="88">
        <v>108</v>
      </c>
      <c r="B1237" s="89" t="s">
        <v>760</v>
      </c>
      <c r="C1237" s="88" t="s">
        <v>0</v>
      </c>
      <c r="D1237" s="89"/>
      <c r="E1237" s="91">
        <v>20000</v>
      </c>
      <c r="F1237" s="88">
        <v>4</v>
      </c>
      <c r="G1237" s="89" t="s">
        <v>3066</v>
      </c>
      <c r="H1237" s="89" t="s">
        <v>3067</v>
      </c>
      <c r="I1237" s="89" t="s">
        <v>161</v>
      </c>
      <c r="J1237" s="89" t="s">
        <v>1680</v>
      </c>
      <c r="K1237" s="89" t="str">
        <f>"00049046"</f>
        <v>00049046</v>
      </c>
    </row>
    <row r="1238" spans="1:11" ht="71.25" x14ac:dyDescent="0.25">
      <c r="A1238" s="88">
        <v>108</v>
      </c>
      <c r="B1238" s="89" t="s">
        <v>1333</v>
      </c>
      <c r="C1238" s="88" t="s">
        <v>0</v>
      </c>
      <c r="D1238" s="89"/>
      <c r="E1238" s="91">
        <v>15072</v>
      </c>
      <c r="F1238" s="88">
        <v>4</v>
      </c>
      <c r="G1238" s="89" t="s">
        <v>3051</v>
      </c>
      <c r="H1238" s="89" t="s">
        <v>3052</v>
      </c>
      <c r="I1238" s="89" t="s">
        <v>66</v>
      </c>
      <c r="J1238" s="89" t="s">
        <v>125</v>
      </c>
      <c r="K1238" s="89" t="str">
        <f>"00051292"</f>
        <v>00051292</v>
      </c>
    </row>
    <row r="1239" spans="1:11" ht="57" x14ac:dyDescent="0.25">
      <c r="A1239" s="88">
        <v>108</v>
      </c>
      <c r="B1239" s="89" t="s">
        <v>3053</v>
      </c>
      <c r="C1239" s="88" t="s">
        <v>0</v>
      </c>
      <c r="D1239" s="89"/>
      <c r="E1239" s="91">
        <v>18856</v>
      </c>
      <c r="F1239" s="88">
        <v>4</v>
      </c>
      <c r="G1239" s="89" t="s">
        <v>3054</v>
      </c>
      <c r="H1239" s="89" t="s">
        <v>3055</v>
      </c>
      <c r="I1239" s="89" t="s">
        <v>17</v>
      </c>
      <c r="J1239" s="89" t="s">
        <v>1265</v>
      </c>
      <c r="K1239" s="89" t="str">
        <f>"00051092"</f>
        <v>00051092</v>
      </c>
    </row>
    <row r="1240" spans="1:11" ht="85.5" x14ac:dyDescent="0.25">
      <c r="A1240" s="88">
        <v>108</v>
      </c>
      <c r="B1240" s="89" t="s">
        <v>3059</v>
      </c>
      <c r="C1240" s="88" t="s">
        <v>0</v>
      </c>
      <c r="D1240" s="89"/>
      <c r="E1240" s="91">
        <v>76078</v>
      </c>
      <c r="F1240" s="88">
        <v>4</v>
      </c>
      <c r="G1240" s="89" t="s">
        <v>3083</v>
      </c>
      <c r="H1240" s="89" t="s">
        <v>2689</v>
      </c>
      <c r="I1240" s="89" t="s">
        <v>66</v>
      </c>
      <c r="J1240" s="89" t="s">
        <v>3084</v>
      </c>
      <c r="K1240" s="89" t="str">
        <f>"00051351"</f>
        <v>00051351</v>
      </c>
    </row>
    <row r="1241" spans="1:11" ht="71.25" x14ac:dyDescent="0.25">
      <c r="A1241" s="88">
        <v>108</v>
      </c>
      <c r="B1241" s="89" t="s">
        <v>3080</v>
      </c>
      <c r="C1241" s="88" t="s">
        <v>0</v>
      </c>
      <c r="D1241" s="89"/>
      <c r="E1241" s="91">
        <v>133933</v>
      </c>
      <c r="F1241" s="88">
        <v>4</v>
      </c>
      <c r="G1241" s="89" t="s">
        <v>3081</v>
      </c>
      <c r="H1241" s="89" t="s">
        <v>3082</v>
      </c>
      <c r="I1241" s="89" t="s">
        <v>32</v>
      </c>
      <c r="J1241" s="89" t="s">
        <v>3013</v>
      </c>
      <c r="K1241" s="89" t="str">
        <f>"00052163"</f>
        <v>00052163</v>
      </c>
    </row>
    <row r="1242" spans="1:11" ht="71.25" x14ac:dyDescent="0.25">
      <c r="A1242" s="88">
        <v>108</v>
      </c>
      <c r="B1242" s="89" t="s">
        <v>5457</v>
      </c>
      <c r="C1242" s="88" t="s">
        <v>0</v>
      </c>
      <c r="D1242" s="89"/>
      <c r="E1242" s="91">
        <v>189751</v>
      </c>
      <c r="F1242" s="88">
        <v>4</v>
      </c>
      <c r="G1242" s="89" t="s">
        <v>5458</v>
      </c>
      <c r="H1242" s="89" t="s">
        <v>5459</v>
      </c>
      <c r="I1242" s="89" t="s">
        <v>2276</v>
      </c>
      <c r="J1242" s="89" t="s">
        <v>5460</v>
      </c>
      <c r="K1242" s="89" t="str">
        <f>"00052513"</f>
        <v>00052513</v>
      </c>
    </row>
    <row r="1243" spans="1:11" ht="128.25" x14ac:dyDescent="0.25">
      <c r="A1243" s="88">
        <v>108</v>
      </c>
      <c r="B1243" s="89" t="s">
        <v>3085</v>
      </c>
      <c r="C1243" s="88" t="s">
        <v>0</v>
      </c>
      <c r="D1243" s="89"/>
      <c r="E1243" s="91">
        <v>35000</v>
      </c>
      <c r="F1243" s="88">
        <v>4</v>
      </c>
      <c r="G1243" s="89" t="s">
        <v>3086</v>
      </c>
      <c r="H1243" s="89" t="s">
        <v>780</v>
      </c>
      <c r="I1243" s="89" t="s">
        <v>32</v>
      </c>
      <c r="J1243" s="89" t="s">
        <v>550</v>
      </c>
      <c r="K1243" s="89" t="s">
        <v>6026</v>
      </c>
    </row>
    <row r="1244" spans="1:11" ht="57" x14ac:dyDescent="0.25">
      <c r="A1244" s="88">
        <v>108</v>
      </c>
      <c r="B1244" s="89" t="s">
        <v>789</v>
      </c>
      <c r="C1244" s="88" t="s">
        <v>0</v>
      </c>
      <c r="D1244" s="89"/>
      <c r="E1244" s="91">
        <v>35000</v>
      </c>
      <c r="F1244" s="88">
        <v>4</v>
      </c>
      <c r="G1244" s="89" t="s">
        <v>790</v>
      </c>
      <c r="H1244" s="89" t="s">
        <v>780</v>
      </c>
      <c r="I1244" s="89" t="s">
        <v>32</v>
      </c>
      <c r="J1244" s="89" t="s">
        <v>550</v>
      </c>
      <c r="K1244" s="89" t="str">
        <f>"00047768"</f>
        <v>00047768</v>
      </c>
    </row>
    <row r="1245" spans="1:11" ht="57" x14ac:dyDescent="0.25">
      <c r="A1245" s="88">
        <v>108</v>
      </c>
      <c r="B1245" s="89" t="s">
        <v>791</v>
      </c>
      <c r="C1245" s="88" t="s">
        <v>0</v>
      </c>
      <c r="D1245" s="89"/>
      <c r="E1245" s="91">
        <v>35000</v>
      </c>
      <c r="F1245" s="88">
        <v>4</v>
      </c>
      <c r="G1245" s="89" t="s">
        <v>792</v>
      </c>
      <c r="H1245" s="89" t="s">
        <v>780</v>
      </c>
      <c r="I1245" s="89" t="s">
        <v>32</v>
      </c>
      <c r="J1245" s="89" t="s">
        <v>550</v>
      </c>
      <c r="K1245" s="89" t="str">
        <f>"00047730"</f>
        <v>00047730</v>
      </c>
    </row>
    <row r="1246" spans="1:11" ht="42.75" x14ac:dyDescent="0.25">
      <c r="A1246" s="88">
        <v>108</v>
      </c>
      <c r="B1246" s="89" t="s">
        <v>4313</v>
      </c>
      <c r="C1246" s="88" t="s">
        <v>0</v>
      </c>
      <c r="D1246" s="89"/>
      <c r="E1246" s="91">
        <v>95631</v>
      </c>
      <c r="F1246" s="88">
        <v>4</v>
      </c>
      <c r="G1246" s="89" t="s">
        <v>4314</v>
      </c>
      <c r="H1246" s="89" t="s">
        <v>773</v>
      </c>
      <c r="I1246" s="89" t="s">
        <v>185</v>
      </c>
      <c r="J1246" s="89" t="s">
        <v>774</v>
      </c>
      <c r="K1246" s="89" t="str">
        <f>"00048532"</f>
        <v>00048532</v>
      </c>
    </row>
    <row r="1247" spans="1:11" ht="85.5" x14ac:dyDescent="0.25">
      <c r="A1247" s="88">
        <v>108</v>
      </c>
      <c r="B1247" s="89" t="s">
        <v>4340</v>
      </c>
      <c r="C1247" s="88" t="s">
        <v>0</v>
      </c>
      <c r="D1247" s="89"/>
      <c r="E1247" s="91">
        <v>45000</v>
      </c>
      <c r="F1247" s="88">
        <v>4</v>
      </c>
      <c r="G1247" s="89" t="s">
        <v>776</v>
      </c>
      <c r="H1247" s="89" t="s">
        <v>777</v>
      </c>
      <c r="I1247" s="89" t="s">
        <v>32</v>
      </c>
      <c r="J1247" s="89" t="s">
        <v>778</v>
      </c>
      <c r="K1247" s="89" t="str">
        <f>"00047620"</f>
        <v>00047620</v>
      </c>
    </row>
    <row r="1248" spans="1:11" ht="42.75" x14ac:dyDescent="0.25">
      <c r="A1248" s="88">
        <v>108</v>
      </c>
      <c r="B1248" s="89" t="s">
        <v>4468</v>
      </c>
      <c r="C1248" s="88" t="s">
        <v>0</v>
      </c>
      <c r="D1248" s="89"/>
      <c r="E1248" s="91">
        <v>53904</v>
      </c>
      <c r="F1248" s="88">
        <v>4</v>
      </c>
      <c r="G1248" s="89" t="s">
        <v>4469</v>
      </c>
      <c r="H1248" s="89" t="s">
        <v>1645</v>
      </c>
      <c r="I1248" s="89" t="s">
        <v>161</v>
      </c>
      <c r="J1248" s="89" t="s">
        <v>1680</v>
      </c>
      <c r="K1248" s="89" t="str">
        <f>"00049475"</f>
        <v>00049475</v>
      </c>
    </row>
    <row r="1249" spans="1:11" ht="85.5" x14ac:dyDescent="0.25">
      <c r="A1249" s="88">
        <v>108</v>
      </c>
      <c r="B1249" s="89" t="s">
        <v>4340</v>
      </c>
      <c r="C1249" s="88" t="s">
        <v>0</v>
      </c>
      <c r="D1249" s="89"/>
      <c r="E1249" s="91">
        <v>20000</v>
      </c>
      <c r="F1249" s="88">
        <v>4</v>
      </c>
      <c r="G1249" s="89" t="s">
        <v>4352</v>
      </c>
      <c r="H1249" s="89" t="s">
        <v>777</v>
      </c>
      <c r="I1249" s="89" t="s">
        <v>32</v>
      </c>
      <c r="J1249" s="89" t="s">
        <v>778</v>
      </c>
      <c r="K1249" s="89" t="s">
        <v>6406</v>
      </c>
    </row>
    <row r="1250" spans="1:11" ht="71.25" x14ac:dyDescent="0.25">
      <c r="A1250" s="88">
        <v>108</v>
      </c>
      <c r="B1250" s="89" t="s">
        <v>4438</v>
      </c>
      <c r="C1250" s="88" t="s">
        <v>0</v>
      </c>
      <c r="D1250" s="89"/>
      <c r="E1250" s="91">
        <v>70000</v>
      </c>
      <c r="F1250" s="88">
        <v>4</v>
      </c>
      <c r="G1250" s="89" t="s">
        <v>4439</v>
      </c>
      <c r="H1250" s="89" t="s">
        <v>4440</v>
      </c>
      <c r="I1250" s="89" t="s">
        <v>32</v>
      </c>
      <c r="J1250" s="89" t="s">
        <v>423</v>
      </c>
      <c r="K1250" s="89" t="str">
        <f>"00048873"</f>
        <v>00048873</v>
      </c>
    </row>
    <row r="1251" spans="1:11" ht="99.75" x14ac:dyDescent="0.25">
      <c r="A1251" s="88">
        <v>108</v>
      </c>
      <c r="B1251" s="89" t="s">
        <v>4486</v>
      </c>
      <c r="C1251" s="88" t="s">
        <v>0</v>
      </c>
      <c r="D1251" s="89"/>
      <c r="E1251" s="91">
        <v>30228</v>
      </c>
      <c r="F1251" s="88">
        <v>4</v>
      </c>
      <c r="G1251" s="89" t="s">
        <v>4487</v>
      </c>
      <c r="H1251" s="89" t="s">
        <v>4488</v>
      </c>
      <c r="I1251" s="89" t="s">
        <v>4489</v>
      </c>
      <c r="J1251" s="89" t="s">
        <v>4490</v>
      </c>
      <c r="K1251" s="89" t="str">
        <f>"00049345"</f>
        <v>00049345</v>
      </c>
    </row>
    <row r="1252" spans="1:11" ht="28.5" x14ac:dyDescent="0.25">
      <c r="A1252" s="88">
        <v>108</v>
      </c>
      <c r="B1252" s="89" t="s">
        <v>12</v>
      </c>
      <c r="C1252" s="88" t="s">
        <v>0</v>
      </c>
      <c r="D1252" s="91">
        <v>75400000</v>
      </c>
      <c r="E1252" s="59"/>
      <c r="F1252" s="88">
        <v>4</v>
      </c>
      <c r="G1252" s="89" t="s">
        <v>52</v>
      </c>
      <c r="H1252" s="89"/>
      <c r="I1252" s="89" t="s">
        <v>53</v>
      </c>
      <c r="J1252" s="89"/>
      <c r="K1252" s="89" t="str">
        <f>"　"</f>
        <v>　</v>
      </c>
    </row>
    <row r="1253" spans="1:11" ht="57" x14ac:dyDescent="0.25">
      <c r="A1253" s="88">
        <v>108</v>
      </c>
      <c r="B1253" s="89" t="s">
        <v>804</v>
      </c>
      <c r="C1253" s="88" t="s">
        <v>0</v>
      </c>
      <c r="D1253" s="89"/>
      <c r="E1253" s="16">
        <v>100306</v>
      </c>
      <c r="F1253" s="88">
        <v>4</v>
      </c>
      <c r="G1253" s="89" t="s">
        <v>5463</v>
      </c>
      <c r="H1253" s="89" t="s">
        <v>805</v>
      </c>
      <c r="I1253" s="89" t="s">
        <v>32</v>
      </c>
      <c r="J1253" s="89" t="s">
        <v>36</v>
      </c>
      <c r="K1253" s="89" t="str">
        <f>"00047126"</f>
        <v>00047126</v>
      </c>
    </row>
    <row r="1254" spans="1:11" ht="42.75" x14ac:dyDescent="0.25">
      <c r="A1254" s="88">
        <v>108</v>
      </c>
      <c r="B1254" s="89" t="s">
        <v>797</v>
      </c>
      <c r="C1254" s="88" t="s">
        <v>0</v>
      </c>
      <c r="D1254" s="89"/>
      <c r="E1254" s="16">
        <v>95596</v>
      </c>
      <c r="F1254" s="88">
        <v>4</v>
      </c>
      <c r="G1254" s="89" t="s">
        <v>798</v>
      </c>
      <c r="H1254" s="89" t="s">
        <v>799</v>
      </c>
      <c r="I1254" s="89" t="s">
        <v>32</v>
      </c>
      <c r="J1254" s="89" t="s">
        <v>44</v>
      </c>
      <c r="K1254" s="89" t="str">
        <f>"00046395"</f>
        <v>00046395</v>
      </c>
    </row>
    <row r="1255" spans="1:11" ht="57" x14ac:dyDescent="0.25">
      <c r="A1255" s="88">
        <v>108</v>
      </c>
      <c r="B1255" s="89" t="s">
        <v>800</v>
      </c>
      <c r="C1255" s="88" t="s">
        <v>0</v>
      </c>
      <c r="D1255" s="89"/>
      <c r="E1255" s="16">
        <v>84382</v>
      </c>
      <c r="F1255" s="88">
        <v>4</v>
      </c>
      <c r="G1255" s="89" t="s">
        <v>801</v>
      </c>
      <c r="H1255" s="89" t="s">
        <v>802</v>
      </c>
      <c r="I1255" s="89" t="s">
        <v>185</v>
      </c>
      <c r="J1255" s="89" t="s">
        <v>803</v>
      </c>
      <c r="K1255" s="89" t="str">
        <f>"00048501"</f>
        <v>00048501</v>
      </c>
    </row>
    <row r="1256" spans="1:11" ht="57" x14ac:dyDescent="0.25">
      <c r="A1256" s="88">
        <v>108</v>
      </c>
      <c r="B1256" s="89" t="s">
        <v>3094</v>
      </c>
      <c r="C1256" s="88" t="s">
        <v>0</v>
      </c>
      <c r="D1256" s="89"/>
      <c r="E1256" s="16">
        <v>79202</v>
      </c>
      <c r="F1256" s="88">
        <v>4</v>
      </c>
      <c r="G1256" s="89" t="s">
        <v>3095</v>
      </c>
      <c r="H1256" s="89" t="s">
        <v>3096</v>
      </c>
      <c r="I1256" s="89" t="s">
        <v>763</v>
      </c>
      <c r="J1256" s="89" t="s">
        <v>3097</v>
      </c>
      <c r="K1256" s="89" t="str">
        <f>"00048427"</f>
        <v>00048427</v>
      </c>
    </row>
    <row r="1257" spans="1:11" ht="42.75" x14ac:dyDescent="0.25">
      <c r="A1257" s="88">
        <v>108</v>
      </c>
      <c r="B1257" s="89" t="s">
        <v>3102</v>
      </c>
      <c r="C1257" s="88" t="s">
        <v>0</v>
      </c>
      <c r="D1257" s="89"/>
      <c r="E1257" s="16">
        <v>74771</v>
      </c>
      <c r="F1257" s="88">
        <v>4</v>
      </c>
      <c r="G1257" s="89" t="s">
        <v>3103</v>
      </c>
      <c r="H1257" s="89" t="s">
        <v>3104</v>
      </c>
      <c r="I1257" s="89" t="s">
        <v>3105</v>
      </c>
      <c r="J1257" s="89" t="s">
        <v>3106</v>
      </c>
      <c r="K1257" s="89" t="str">
        <f>"00049304"</f>
        <v>00049304</v>
      </c>
    </row>
    <row r="1258" spans="1:11" ht="71.25" x14ac:dyDescent="0.25">
      <c r="A1258" s="88">
        <v>108</v>
      </c>
      <c r="B1258" s="89" t="s">
        <v>3107</v>
      </c>
      <c r="C1258" s="88" t="s">
        <v>0</v>
      </c>
      <c r="D1258" s="89"/>
      <c r="E1258" s="16">
        <v>91355</v>
      </c>
      <c r="F1258" s="88">
        <v>4</v>
      </c>
      <c r="G1258" s="89" t="s">
        <v>5464</v>
      </c>
      <c r="H1258" s="89" t="s">
        <v>2120</v>
      </c>
      <c r="I1258" s="89" t="s">
        <v>3100</v>
      </c>
      <c r="J1258" s="89" t="s">
        <v>3101</v>
      </c>
      <c r="K1258" s="89" t="str">
        <f>"00049144"</f>
        <v>00049144</v>
      </c>
    </row>
    <row r="1259" spans="1:11" ht="42.75" x14ac:dyDescent="0.25">
      <c r="A1259" s="88">
        <v>108</v>
      </c>
      <c r="B1259" s="89" t="s">
        <v>793</v>
      </c>
      <c r="C1259" s="88" t="s">
        <v>0</v>
      </c>
      <c r="D1259" s="89"/>
      <c r="E1259" s="16">
        <v>87225</v>
      </c>
      <c r="F1259" s="88">
        <v>4</v>
      </c>
      <c r="G1259" s="89" t="s">
        <v>794</v>
      </c>
      <c r="H1259" s="89" t="s">
        <v>795</v>
      </c>
      <c r="I1259" s="89" t="s">
        <v>237</v>
      </c>
      <c r="J1259" s="89" t="s">
        <v>796</v>
      </c>
      <c r="K1259" s="89" t="str">
        <f>"00047569"</f>
        <v>00047569</v>
      </c>
    </row>
    <row r="1260" spans="1:11" ht="42.75" x14ac:dyDescent="0.25">
      <c r="A1260" s="88">
        <v>108</v>
      </c>
      <c r="B1260" s="89" t="s">
        <v>3098</v>
      </c>
      <c r="C1260" s="88" t="s">
        <v>0</v>
      </c>
      <c r="D1260" s="89"/>
      <c r="E1260" s="16">
        <v>45000</v>
      </c>
      <c r="F1260" s="88">
        <v>4</v>
      </c>
      <c r="G1260" s="89" t="s">
        <v>5465</v>
      </c>
      <c r="H1260" s="89" t="s">
        <v>3099</v>
      </c>
      <c r="I1260" s="89" t="s">
        <v>3100</v>
      </c>
      <c r="J1260" s="89" t="s">
        <v>3101</v>
      </c>
      <c r="K1260" s="89" t="str">
        <f>"00049569"</f>
        <v>00049569</v>
      </c>
    </row>
    <row r="1261" spans="1:11" ht="42.75" x14ac:dyDescent="0.25">
      <c r="A1261" s="88">
        <v>108</v>
      </c>
      <c r="B1261" s="89" t="s">
        <v>3110</v>
      </c>
      <c r="C1261" s="88" t="s">
        <v>0</v>
      </c>
      <c r="D1261" s="89"/>
      <c r="E1261" s="16">
        <v>19468</v>
      </c>
      <c r="F1261" s="88">
        <v>4</v>
      </c>
      <c r="G1261" s="89" t="s">
        <v>3111</v>
      </c>
      <c r="H1261" s="89" t="s">
        <v>3112</v>
      </c>
      <c r="I1261" s="89" t="s">
        <v>746</v>
      </c>
      <c r="J1261" s="89" t="s">
        <v>3113</v>
      </c>
      <c r="K1261" s="89" t="str">
        <f>"00051721"</f>
        <v>00051721</v>
      </c>
    </row>
    <row r="1262" spans="1:11" ht="42.75" x14ac:dyDescent="0.25">
      <c r="A1262" s="88">
        <v>108</v>
      </c>
      <c r="B1262" s="89" t="s">
        <v>3108</v>
      </c>
      <c r="C1262" s="88" t="s">
        <v>0</v>
      </c>
      <c r="D1262" s="89"/>
      <c r="E1262" s="16">
        <v>108899</v>
      </c>
      <c r="F1262" s="88">
        <v>4</v>
      </c>
      <c r="G1262" s="89" t="s">
        <v>5466</v>
      </c>
      <c r="H1262" s="89" t="s">
        <v>1769</v>
      </c>
      <c r="I1262" s="89" t="s">
        <v>3100</v>
      </c>
      <c r="J1262" s="89" t="s">
        <v>3101</v>
      </c>
      <c r="K1262" s="89" t="str">
        <f>"00047878"</f>
        <v>00047878</v>
      </c>
    </row>
    <row r="1263" spans="1:11" ht="57" x14ac:dyDescent="0.25">
      <c r="A1263" s="88">
        <v>108</v>
      </c>
      <c r="B1263" s="89" t="s">
        <v>3087</v>
      </c>
      <c r="C1263" s="88" t="s">
        <v>0</v>
      </c>
      <c r="D1263" s="89"/>
      <c r="E1263" s="16">
        <v>78778</v>
      </c>
      <c r="F1263" s="88">
        <v>4</v>
      </c>
      <c r="G1263" s="89" t="s">
        <v>5467</v>
      </c>
      <c r="H1263" s="89" t="s">
        <v>3109</v>
      </c>
      <c r="I1263" s="89" t="s">
        <v>17</v>
      </c>
      <c r="J1263" s="89" t="s">
        <v>619</v>
      </c>
      <c r="K1263" s="89" t="str">
        <f>"00048826"</f>
        <v>00048826</v>
      </c>
    </row>
    <row r="1264" spans="1:11" ht="71.25" x14ac:dyDescent="0.25">
      <c r="A1264" s="88">
        <v>108</v>
      </c>
      <c r="B1264" s="89" t="s">
        <v>3090</v>
      </c>
      <c r="C1264" s="88" t="s">
        <v>0</v>
      </c>
      <c r="D1264" s="89"/>
      <c r="E1264" s="16">
        <v>91001</v>
      </c>
      <c r="F1264" s="88">
        <v>4</v>
      </c>
      <c r="G1264" s="89" t="s">
        <v>3091</v>
      </c>
      <c r="H1264" s="89" t="s">
        <v>3092</v>
      </c>
      <c r="I1264" s="89" t="s">
        <v>135</v>
      </c>
      <c r="J1264" s="89" t="s">
        <v>3093</v>
      </c>
      <c r="K1264" s="89" t="str">
        <f>"00051025"</f>
        <v>00051025</v>
      </c>
    </row>
    <row r="1265" spans="1:11" ht="57" x14ac:dyDescent="0.25">
      <c r="A1265" s="88">
        <v>108</v>
      </c>
      <c r="B1265" s="89" t="s">
        <v>3087</v>
      </c>
      <c r="C1265" s="88" t="s">
        <v>0</v>
      </c>
      <c r="D1265" s="89"/>
      <c r="E1265" s="16">
        <v>16008</v>
      </c>
      <c r="F1265" s="88">
        <v>4</v>
      </c>
      <c r="G1265" s="89" t="s">
        <v>3088</v>
      </c>
      <c r="H1265" s="89" t="s">
        <v>3089</v>
      </c>
      <c r="I1265" s="89" t="s">
        <v>32</v>
      </c>
      <c r="J1265" s="89" t="s">
        <v>262</v>
      </c>
      <c r="K1265" s="89" t="str">
        <f>"00051370"</f>
        <v>00051370</v>
      </c>
    </row>
    <row r="1266" spans="1:11" ht="42.75" x14ac:dyDescent="0.25">
      <c r="A1266" s="88">
        <v>108</v>
      </c>
      <c r="B1266" s="89" t="s">
        <v>793</v>
      </c>
      <c r="C1266" s="88" t="s">
        <v>0</v>
      </c>
      <c r="D1266" s="89"/>
      <c r="E1266" s="16">
        <v>101278</v>
      </c>
      <c r="F1266" s="88">
        <v>4</v>
      </c>
      <c r="G1266" s="89" t="s">
        <v>5468</v>
      </c>
      <c r="H1266" s="89" t="s">
        <v>3092</v>
      </c>
      <c r="I1266" s="89" t="s">
        <v>135</v>
      </c>
      <c r="J1266" s="89" t="s">
        <v>3093</v>
      </c>
      <c r="K1266" s="89" t="str">
        <f>"00051132"</f>
        <v>00051132</v>
      </c>
    </row>
    <row r="1267" spans="1:11" ht="57" x14ac:dyDescent="0.25">
      <c r="A1267" s="88">
        <v>108</v>
      </c>
      <c r="B1267" s="89" t="s">
        <v>3114</v>
      </c>
      <c r="C1267" s="88" t="s">
        <v>0</v>
      </c>
      <c r="D1267" s="89"/>
      <c r="E1267" s="16">
        <v>43774</v>
      </c>
      <c r="F1267" s="88">
        <v>4</v>
      </c>
      <c r="G1267" s="89" t="s">
        <v>3115</v>
      </c>
      <c r="H1267" s="89" t="s">
        <v>2860</v>
      </c>
      <c r="I1267" s="89" t="s">
        <v>209</v>
      </c>
      <c r="J1267" s="89" t="s">
        <v>2861</v>
      </c>
      <c r="K1267" s="89" t="str">
        <f>"00051973"</f>
        <v>00051973</v>
      </c>
    </row>
    <row r="1268" spans="1:11" ht="57" x14ac:dyDescent="0.25">
      <c r="A1268" s="88">
        <v>108</v>
      </c>
      <c r="B1268" s="89" t="s">
        <v>3114</v>
      </c>
      <c r="C1268" s="88" t="s">
        <v>0</v>
      </c>
      <c r="D1268" s="89"/>
      <c r="E1268" s="16">
        <v>39611</v>
      </c>
      <c r="F1268" s="88">
        <v>4</v>
      </c>
      <c r="G1268" s="89" t="s">
        <v>3115</v>
      </c>
      <c r="H1268" s="89" t="s">
        <v>3116</v>
      </c>
      <c r="I1268" s="89" t="s">
        <v>209</v>
      </c>
      <c r="J1268" s="89" t="s">
        <v>2861</v>
      </c>
      <c r="K1268" s="89" t="str">
        <f>"00051966"</f>
        <v>00051966</v>
      </c>
    </row>
    <row r="1269" spans="1:11" ht="57" x14ac:dyDescent="0.25">
      <c r="A1269" s="88">
        <v>108</v>
      </c>
      <c r="B1269" s="89" t="s">
        <v>3114</v>
      </c>
      <c r="C1269" s="88" t="s">
        <v>0</v>
      </c>
      <c r="D1269" s="89"/>
      <c r="E1269" s="16">
        <v>46708</v>
      </c>
      <c r="F1269" s="88">
        <v>4</v>
      </c>
      <c r="G1269" s="89" t="s">
        <v>3115</v>
      </c>
      <c r="H1269" s="89" t="s">
        <v>2860</v>
      </c>
      <c r="I1269" s="89" t="s">
        <v>209</v>
      </c>
      <c r="J1269" s="89" t="s">
        <v>2861</v>
      </c>
      <c r="K1269" s="89" t="str">
        <f>"00051971"</f>
        <v>00051971</v>
      </c>
    </row>
    <row r="1270" spans="1:11" ht="57" x14ac:dyDescent="0.25">
      <c r="A1270" s="88">
        <v>108</v>
      </c>
      <c r="B1270" s="89" t="s">
        <v>3114</v>
      </c>
      <c r="C1270" s="88" t="s">
        <v>0</v>
      </c>
      <c r="D1270" s="89"/>
      <c r="E1270" s="16">
        <v>39502</v>
      </c>
      <c r="F1270" s="88">
        <v>4</v>
      </c>
      <c r="G1270" s="89" t="s">
        <v>3115</v>
      </c>
      <c r="H1270" s="89" t="s">
        <v>3116</v>
      </c>
      <c r="I1270" s="89" t="s">
        <v>209</v>
      </c>
      <c r="J1270" s="89" t="s">
        <v>2861</v>
      </c>
      <c r="K1270" s="89" t="str">
        <f>"00051968"</f>
        <v>00051968</v>
      </c>
    </row>
    <row r="1271" spans="1:11" ht="57" x14ac:dyDescent="0.25">
      <c r="A1271" s="88">
        <v>108</v>
      </c>
      <c r="B1271" s="89" t="s">
        <v>3114</v>
      </c>
      <c r="C1271" s="88" t="s">
        <v>0</v>
      </c>
      <c r="D1271" s="89"/>
      <c r="E1271" s="16">
        <v>49904</v>
      </c>
      <c r="F1271" s="88">
        <v>4</v>
      </c>
      <c r="G1271" s="89" t="s">
        <v>3115</v>
      </c>
      <c r="H1271" s="89" t="s">
        <v>2417</v>
      </c>
      <c r="I1271" s="89" t="s">
        <v>209</v>
      </c>
      <c r="J1271" s="89" t="s">
        <v>2861</v>
      </c>
      <c r="K1271" s="89" t="str">
        <f>"00051969"</f>
        <v>00051969</v>
      </c>
    </row>
    <row r="1272" spans="1:11" ht="57" x14ac:dyDescent="0.25">
      <c r="A1272" s="88">
        <v>108</v>
      </c>
      <c r="B1272" s="89" t="s">
        <v>5748</v>
      </c>
      <c r="C1272" s="88" t="s">
        <v>5469</v>
      </c>
      <c r="D1272" s="89"/>
      <c r="E1272" s="16">
        <v>48398</v>
      </c>
      <c r="F1272" s="88">
        <v>4</v>
      </c>
      <c r="G1272" s="89" t="s">
        <v>6006</v>
      </c>
      <c r="H1272" s="89" t="s">
        <v>5470</v>
      </c>
      <c r="I1272" s="89" t="s">
        <v>5749</v>
      </c>
      <c r="J1272" s="89" t="s">
        <v>5742</v>
      </c>
      <c r="K1272" s="89" t="str">
        <f>"00051935"</f>
        <v>00051935</v>
      </c>
    </row>
    <row r="1273" spans="1:11" ht="57" x14ac:dyDescent="0.25">
      <c r="A1273" s="88">
        <v>108</v>
      </c>
      <c r="B1273" s="89" t="s">
        <v>4557</v>
      </c>
      <c r="C1273" s="88" t="s">
        <v>0</v>
      </c>
      <c r="D1273" s="89"/>
      <c r="E1273" s="16">
        <v>4879</v>
      </c>
      <c r="F1273" s="88">
        <v>4</v>
      </c>
      <c r="G1273" s="89" t="s">
        <v>5471</v>
      </c>
      <c r="H1273" s="89" t="s">
        <v>4558</v>
      </c>
      <c r="I1273" s="89" t="s">
        <v>135</v>
      </c>
      <c r="J1273" s="89" t="s">
        <v>3093</v>
      </c>
      <c r="K1273" s="89" t="str">
        <f>"00048359"</f>
        <v>00048359</v>
      </c>
    </row>
    <row r="1274" spans="1:11" ht="42.75" x14ac:dyDescent="0.25">
      <c r="A1274" s="88">
        <v>108</v>
      </c>
      <c r="B1274" s="89" t="s">
        <v>4421</v>
      </c>
      <c r="C1274" s="88" t="s">
        <v>0</v>
      </c>
      <c r="D1274" s="89"/>
      <c r="E1274" s="16">
        <v>72861</v>
      </c>
      <c r="F1274" s="88">
        <v>4</v>
      </c>
      <c r="G1274" s="89" t="s">
        <v>4422</v>
      </c>
      <c r="H1274" s="89" t="s">
        <v>4423</v>
      </c>
      <c r="I1274" s="89" t="s">
        <v>66</v>
      </c>
      <c r="J1274" s="89" t="s">
        <v>125</v>
      </c>
      <c r="K1274" s="89" t="str">
        <f>"00049992"</f>
        <v>00049992</v>
      </c>
    </row>
    <row r="1275" spans="1:11" ht="57" x14ac:dyDescent="0.25">
      <c r="A1275" s="88">
        <v>108</v>
      </c>
      <c r="B1275" s="89" t="s">
        <v>4381</v>
      </c>
      <c r="C1275" s="88" t="s">
        <v>0</v>
      </c>
      <c r="D1275" s="89"/>
      <c r="E1275" s="16">
        <v>9552</v>
      </c>
      <c r="F1275" s="88">
        <v>4</v>
      </c>
      <c r="G1275" s="89" t="s">
        <v>3115</v>
      </c>
      <c r="H1275" s="89" t="s">
        <v>3116</v>
      </c>
      <c r="I1275" s="89" t="s">
        <v>209</v>
      </c>
      <c r="J1275" s="89" t="s">
        <v>2861</v>
      </c>
      <c r="K1275" s="89" t="str">
        <f>"00051935"</f>
        <v>00051935</v>
      </c>
    </row>
    <row r="1276" spans="1:11" ht="57" x14ac:dyDescent="0.25">
      <c r="A1276" s="88">
        <v>108</v>
      </c>
      <c r="B1276" s="89" t="s">
        <v>4369</v>
      </c>
      <c r="C1276" s="88" t="s">
        <v>0</v>
      </c>
      <c r="D1276" s="89"/>
      <c r="E1276" s="16">
        <v>54699</v>
      </c>
      <c r="F1276" s="88">
        <v>4</v>
      </c>
      <c r="G1276" s="89" t="s">
        <v>5472</v>
      </c>
      <c r="H1276" s="89" t="s">
        <v>4370</v>
      </c>
      <c r="I1276" s="89" t="s">
        <v>66</v>
      </c>
      <c r="J1276" s="89" t="s">
        <v>125</v>
      </c>
      <c r="K1276" s="89" t="str">
        <f>"00052354"</f>
        <v>00052354</v>
      </c>
    </row>
    <row r="1277" spans="1:11" ht="28.5" x14ac:dyDescent="0.25">
      <c r="A1277" s="88">
        <v>108</v>
      </c>
      <c r="B1277" s="89" t="s">
        <v>26</v>
      </c>
      <c r="C1277" s="88" t="s">
        <v>0</v>
      </c>
      <c r="D1277" s="94">
        <v>120000</v>
      </c>
      <c r="E1277" s="16"/>
      <c r="F1277" s="88">
        <v>4</v>
      </c>
      <c r="G1277" s="89" t="s">
        <v>29</v>
      </c>
      <c r="H1277" s="89"/>
      <c r="I1277" s="89" t="s">
        <v>14</v>
      </c>
      <c r="J1277" s="89"/>
      <c r="K1277" s="89" t="str">
        <f>"　"</f>
        <v>　</v>
      </c>
    </row>
    <row r="1278" spans="1:11" ht="42.75" x14ac:dyDescent="0.25">
      <c r="A1278" s="88">
        <v>108</v>
      </c>
      <c r="B1278" s="89" t="s">
        <v>26</v>
      </c>
      <c r="C1278" s="88" t="s">
        <v>0</v>
      </c>
      <c r="D1278" s="89"/>
      <c r="E1278" s="16">
        <v>96662</v>
      </c>
      <c r="F1278" s="88">
        <v>4</v>
      </c>
      <c r="G1278" s="89" t="s">
        <v>5473</v>
      </c>
      <c r="H1278" s="89" t="s">
        <v>3297</v>
      </c>
      <c r="I1278" s="89" t="s">
        <v>17</v>
      </c>
      <c r="J1278" s="89" t="s">
        <v>110</v>
      </c>
      <c r="K1278" s="89" t="str">
        <f>"00048457"</f>
        <v>00048457</v>
      </c>
    </row>
    <row r="1279" spans="1:11" ht="28.5" x14ac:dyDescent="0.25">
      <c r="A1279" s="88">
        <v>108</v>
      </c>
      <c r="B1279" s="89" t="s">
        <v>12</v>
      </c>
      <c r="C1279" s="88" t="s">
        <v>0</v>
      </c>
      <c r="D1279" s="91">
        <v>75400000</v>
      </c>
      <c r="E1279" s="45"/>
      <c r="F1279" s="88">
        <v>4</v>
      </c>
      <c r="G1279" s="89" t="s">
        <v>52</v>
      </c>
      <c r="H1279" s="89"/>
      <c r="I1279" s="89" t="s">
        <v>53</v>
      </c>
      <c r="J1279" s="89"/>
      <c r="K1279" s="89" t="str">
        <f>"　"</f>
        <v>　</v>
      </c>
    </row>
    <row r="1280" spans="1:11" ht="71.25" x14ac:dyDescent="0.25">
      <c r="A1280" s="88">
        <v>108</v>
      </c>
      <c r="B1280" s="89" t="s">
        <v>3117</v>
      </c>
      <c r="C1280" s="88" t="s">
        <v>0</v>
      </c>
      <c r="D1280" s="89"/>
      <c r="E1280" s="91">
        <v>123058</v>
      </c>
      <c r="F1280" s="88">
        <v>4</v>
      </c>
      <c r="G1280" s="89" t="s">
        <v>5479</v>
      </c>
      <c r="H1280" s="89" t="s">
        <v>2535</v>
      </c>
      <c r="I1280" s="89" t="s">
        <v>849</v>
      </c>
      <c r="J1280" s="89" t="s">
        <v>3118</v>
      </c>
      <c r="K1280" s="89" t="str">
        <f>"00049342"</f>
        <v>00049342</v>
      </c>
    </row>
    <row r="1281" spans="1:11" ht="42.75" x14ac:dyDescent="0.25">
      <c r="A1281" s="88">
        <v>108</v>
      </c>
      <c r="B1281" s="89" t="s">
        <v>1338</v>
      </c>
      <c r="C1281" s="88" t="s">
        <v>0</v>
      </c>
      <c r="D1281" s="89"/>
      <c r="E1281" s="91">
        <v>2862</v>
      </c>
      <c r="F1281" s="88">
        <v>4</v>
      </c>
      <c r="G1281" s="89" t="s">
        <v>5480</v>
      </c>
      <c r="H1281" s="89" t="s">
        <v>3124</v>
      </c>
      <c r="I1281" s="89" t="s">
        <v>2276</v>
      </c>
      <c r="J1281" s="89" t="s">
        <v>2277</v>
      </c>
      <c r="K1281" s="89" t="str">
        <f>"00049722"</f>
        <v>00049722</v>
      </c>
    </row>
    <row r="1282" spans="1:11" ht="42.75" x14ac:dyDescent="0.25">
      <c r="A1282" s="88">
        <v>108</v>
      </c>
      <c r="B1282" s="89" t="s">
        <v>806</v>
      </c>
      <c r="C1282" s="88" t="s">
        <v>0</v>
      </c>
      <c r="D1282" s="89"/>
      <c r="E1282" s="91">
        <v>66534</v>
      </c>
      <c r="F1282" s="88">
        <v>4</v>
      </c>
      <c r="G1282" s="89" t="s">
        <v>5481</v>
      </c>
      <c r="H1282" s="89" t="s">
        <v>500</v>
      </c>
      <c r="I1282" s="89" t="s">
        <v>185</v>
      </c>
      <c r="J1282" s="89" t="s">
        <v>270</v>
      </c>
      <c r="K1282" s="89" t="str">
        <f>"00046948"</f>
        <v>00046948</v>
      </c>
    </row>
    <row r="1283" spans="1:11" ht="57" x14ac:dyDescent="0.25">
      <c r="A1283" s="88">
        <v>108</v>
      </c>
      <c r="B1283" s="89" t="s">
        <v>3121</v>
      </c>
      <c r="C1283" s="88" t="s">
        <v>0</v>
      </c>
      <c r="D1283" s="89"/>
      <c r="E1283" s="91">
        <v>89375</v>
      </c>
      <c r="F1283" s="88">
        <v>4</v>
      </c>
      <c r="G1283" s="89" t="s">
        <v>5482</v>
      </c>
      <c r="H1283" s="89" t="s">
        <v>2844</v>
      </c>
      <c r="I1283" s="89" t="s">
        <v>32</v>
      </c>
      <c r="J1283" s="89" t="s">
        <v>36</v>
      </c>
      <c r="K1283" s="89" t="str">
        <f>"00049432"</f>
        <v>00049432</v>
      </c>
    </row>
    <row r="1284" spans="1:11" ht="71.25" x14ac:dyDescent="0.25">
      <c r="A1284" s="88">
        <v>108</v>
      </c>
      <c r="B1284" s="89" t="s">
        <v>3122</v>
      </c>
      <c r="C1284" s="88" t="s">
        <v>0</v>
      </c>
      <c r="D1284" s="89"/>
      <c r="E1284" s="91">
        <v>69220</v>
      </c>
      <c r="F1284" s="88">
        <v>4</v>
      </c>
      <c r="G1284" s="89" t="s">
        <v>5483</v>
      </c>
      <c r="H1284" s="89" t="s">
        <v>3123</v>
      </c>
      <c r="I1284" s="89" t="s">
        <v>66</v>
      </c>
      <c r="J1284" s="89" t="s">
        <v>67</v>
      </c>
      <c r="K1284" s="89" t="str">
        <f>"00052868"</f>
        <v>00052868</v>
      </c>
    </row>
    <row r="1285" spans="1:11" ht="85.5" x14ac:dyDescent="0.25">
      <c r="A1285" s="88">
        <v>108</v>
      </c>
      <c r="B1285" s="89" t="s">
        <v>3119</v>
      </c>
      <c r="C1285" s="88" t="s">
        <v>0</v>
      </c>
      <c r="D1285" s="89"/>
      <c r="E1285" s="91">
        <v>43756</v>
      </c>
      <c r="F1285" s="88">
        <v>4</v>
      </c>
      <c r="G1285" s="89" t="s">
        <v>5478</v>
      </c>
      <c r="H1285" s="89" t="s">
        <v>762</v>
      </c>
      <c r="I1285" s="89" t="s">
        <v>32</v>
      </c>
      <c r="J1285" s="89" t="s">
        <v>3120</v>
      </c>
      <c r="K1285" s="89" t="str">
        <f>"00048223"</f>
        <v>00048223</v>
      </c>
    </row>
    <row r="1286" spans="1:11" ht="57" x14ac:dyDescent="0.25">
      <c r="A1286" s="88">
        <v>108</v>
      </c>
      <c r="B1286" s="89" t="s">
        <v>3125</v>
      </c>
      <c r="C1286" s="88" t="s">
        <v>0</v>
      </c>
      <c r="D1286" s="89"/>
      <c r="E1286" s="91">
        <v>50000</v>
      </c>
      <c r="F1286" s="88">
        <v>4</v>
      </c>
      <c r="G1286" s="89" t="s">
        <v>5484</v>
      </c>
      <c r="H1286" s="89" t="s">
        <v>3126</v>
      </c>
      <c r="I1286" s="89" t="s">
        <v>161</v>
      </c>
      <c r="J1286" s="89" t="s">
        <v>3127</v>
      </c>
      <c r="K1286" s="89" t="str">
        <f>"00048898"</f>
        <v>00048898</v>
      </c>
    </row>
    <row r="1287" spans="1:11" ht="128.25" x14ac:dyDescent="0.25">
      <c r="A1287" s="88">
        <v>108</v>
      </c>
      <c r="B1287" s="89" t="s">
        <v>3128</v>
      </c>
      <c r="C1287" s="88" t="s">
        <v>0</v>
      </c>
      <c r="D1287" s="89"/>
      <c r="E1287" s="91">
        <v>70132</v>
      </c>
      <c r="F1287" s="88">
        <v>4</v>
      </c>
      <c r="G1287" s="89" t="s">
        <v>5485</v>
      </c>
      <c r="H1287" s="89" t="s">
        <v>3129</v>
      </c>
      <c r="I1287" s="89" t="s">
        <v>3130</v>
      </c>
      <c r="J1287" s="89" t="s">
        <v>3131</v>
      </c>
      <c r="K1287" s="89" t="str">
        <f>"00049595"</f>
        <v>00049595</v>
      </c>
    </row>
    <row r="1288" spans="1:11" ht="28.5" x14ac:dyDescent="0.25">
      <c r="A1288" s="88">
        <v>108</v>
      </c>
      <c r="B1288" s="89" t="s">
        <v>26</v>
      </c>
      <c r="C1288" s="88" t="s">
        <v>0</v>
      </c>
      <c r="D1288" s="94">
        <v>140000</v>
      </c>
      <c r="E1288" s="32"/>
      <c r="F1288" s="88">
        <v>4</v>
      </c>
      <c r="G1288" s="89" t="s">
        <v>29</v>
      </c>
      <c r="H1288" s="89"/>
      <c r="I1288" s="89" t="s">
        <v>14</v>
      </c>
      <c r="J1288" s="89"/>
      <c r="K1288" s="89" t="str">
        <f>"　"</f>
        <v>　</v>
      </c>
    </row>
    <row r="1289" spans="1:11" ht="42.75" x14ac:dyDescent="0.25">
      <c r="A1289" s="88">
        <v>108</v>
      </c>
      <c r="B1289" s="89" t="s">
        <v>26</v>
      </c>
      <c r="C1289" s="88" t="s">
        <v>0</v>
      </c>
      <c r="D1289" s="89"/>
      <c r="E1289" s="91">
        <v>63476</v>
      </c>
      <c r="F1289" s="88">
        <v>4</v>
      </c>
      <c r="G1289" s="89" t="s">
        <v>5486</v>
      </c>
      <c r="H1289" s="89" t="s">
        <v>3300</v>
      </c>
      <c r="I1289" s="89" t="s">
        <v>1860</v>
      </c>
      <c r="J1289" s="89" t="s">
        <v>1861</v>
      </c>
      <c r="K1289" s="89" t="str">
        <f>"00052797"</f>
        <v>00052797</v>
      </c>
    </row>
    <row r="1290" spans="1:11" ht="57" x14ac:dyDescent="0.25">
      <c r="A1290" s="88">
        <v>108</v>
      </c>
      <c r="B1290" s="89" t="s">
        <v>26</v>
      </c>
      <c r="C1290" s="88" t="s">
        <v>0</v>
      </c>
      <c r="D1290" s="89"/>
      <c r="E1290" s="91">
        <v>28544</v>
      </c>
      <c r="F1290" s="88">
        <v>4</v>
      </c>
      <c r="G1290" s="89" t="s">
        <v>3298</v>
      </c>
      <c r="H1290" s="89" t="s">
        <v>3299</v>
      </c>
      <c r="I1290" s="89" t="s">
        <v>66</v>
      </c>
      <c r="J1290" s="89" t="s">
        <v>67</v>
      </c>
      <c r="K1290" s="89" t="str">
        <f>"00052871"</f>
        <v>00052871</v>
      </c>
    </row>
    <row r="1291" spans="1:11" ht="128.25" x14ac:dyDescent="0.25">
      <c r="A1291" s="88">
        <v>108</v>
      </c>
      <c r="B1291" s="89" t="s">
        <v>4566</v>
      </c>
      <c r="C1291" s="88" t="s">
        <v>0</v>
      </c>
      <c r="D1291" s="89"/>
      <c r="E1291" s="91">
        <v>115650</v>
      </c>
      <c r="F1291" s="88">
        <v>4</v>
      </c>
      <c r="G1291" s="89" t="s">
        <v>5487</v>
      </c>
      <c r="H1291" s="89" t="s">
        <v>4567</v>
      </c>
      <c r="I1291" s="89" t="s">
        <v>849</v>
      </c>
      <c r="J1291" s="89" t="s">
        <v>4568</v>
      </c>
      <c r="K1291" s="89" t="str">
        <f>"00049838"</f>
        <v>00049838</v>
      </c>
    </row>
    <row r="1292" spans="1:11" ht="28.5" x14ac:dyDescent="0.25">
      <c r="A1292" s="88">
        <v>108</v>
      </c>
      <c r="B1292" s="89" t="s">
        <v>12</v>
      </c>
      <c r="C1292" s="88" t="s">
        <v>0</v>
      </c>
      <c r="D1292" s="91">
        <v>75400000</v>
      </c>
      <c r="E1292" s="96"/>
      <c r="F1292" s="88">
        <v>4</v>
      </c>
      <c r="G1292" s="89" t="s">
        <v>52</v>
      </c>
      <c r="H1292" s="89"/>
      <c r="I1292" s="89" t="s">
        <v>53</v>
      </c>
      <c r="J1292" s="89"/>
      <c r="K1292" s="89" t="str">
        <f>"　"</f>
        <v>　</v>
      </c>
    </row>
    <row r="1293" spans="1:11" ht="71.25" x14ac:dyDescent="0.25">
      <c r="A1293" s="88">
        <v>108</v>
      </c>
      <c r="B1293" s="89" t="s">
        <v>807</v>
      </c>
      <c r="C1293" s="88" t="s">
        <v>0</v>
      </c>
      <c r="D1293" s="89"/>
      <c r="E1293" s="46">
        <v>27854</v>
      </c>
      <c r="F1293" s="88">
        <v>4</v>
      </c>
      <c r="G1293" s="89" t="s">
        <v>808</v>
      </c>
      <c r="H1293" s="89" t="s">
        <v>809</v>
      </c>
      <c r="I1293" s="89" t="s">
        <v>32</v>
      </c>
      <c r="J1293" s="89" t="s">
        <v>294</v>
      </c>
      <c r="K1293" s="89" t="str">
        <f>"00048373"</f>
        <v>00048373</v>
      </c>
    </row>
    <row r="1294" spans="1:11" ht="85.5" x14ac:dyDescent="0.25">
      <c r="A1294" s="88">
        <v>108</v>
      </c>
      <c r="B1294" s="89" t="s">
        <v>813</v>
      </c>
      <c r="C1294" s="88" t="s">
        <v>0</v>
      </c>
      <c r="D1294" s="89"/>
      <c r="E1294" s="46">
        <v>45279</v>
      </c>
      <c r="F1294" s="88">
        <v>4</v>
      </c>
      <c r="G1294" s="89" t="s">
        <v>814</v>
      </c>
      <c r="H1294" s="89" t="s">
        <v>815</v>
      </c>
      <c r="I1294" s="89" t="s">
        <v>32</v>
      </c>
      <c r="J1294" s="89" t="s">
        <v>423</v>
      </c>
      <c r="K1294" s="89" t="s">
        <v>6407</v>
      </c>
    </row>
    <row r="1295" spans="1:11" ht="42.75" x14ac:dyDescent="0.25">
      <c r="A1295" s="88">
        <v>108</v>
      </c>
      <c r="B1295" s="89" t="s">
        <v>810</v>
      </c>
      <c r="C1295" s="88" t="s">
        <v>0</v>
      </c>
      <c r="D1295" s="89"/>
      <c r="E1295" s="46">
        <v>46875</v>
      </c>
      <c r="F1295" s="88">
        <v>4</v>
      </c>
      <c r="G1295" s="89" t="s">
        <v>811</v>
      </c>
      <c r="H1295" s="89" t="s">
        <v>812</v>
      </c>
      <c r="I1295" s="89" t="s">
        <v>32</v>
      </c>
      <c r="J1295" s="89" t="s">
        <v>57</v>
      </c>
      <c r="K1295" s="89" t="s">
        <v>6409</v>
      </c>
    </row>
    <row r="1296" spans="1:11" ht="57" x14ac:dyDescent="0.25">
      <c r="A1296" s="88">
        <v>108</v>
      </c>
      <c r="B1296" s="89" t="s">
        <v>807</v>
      </c>
      <c r="C1296" s="88" t="s">
        <v>0</v>
      </c>
      <c r="D1296" s="89"/>
      <c r="E1296" s="46">
        <v>37196</v>
      </c>
      <c r="F1296" s="88">
        <v>4</v>
      </c>
      <c r="G1296" s="89" t="s">
        <v>822</v>
      </c>
      <c r="H1296" s="89" t="s">
        <v>823</v>
      </c>
      <c r="I1296" s="89" t="s">
        <v>32</v>
      </c>
      <c r="J1296" s="89" t="s">
        <v>57</v>
      </c>
      <c r="K1296" s="89" t="s">
        <v>6408</v>
      </c>
    </row>
    <row r="1297" spans="1:11" ht="42.75" x14ac:dyDescent="0.25">
      <c r="A1297" s="88">
        <v>108</v>
      </c>
      <c r="B1297" s="89" t="s">
        <v>813</v>
      </c>
      <c r="C1297" s="88" t="s">
        <v>0</v>
      </c>
      <c r="D1297" s="89"/>
      <c r="E1297" s="46">
        <v>100000</v>
      </c>
      <c r="F1297" s="88">
        <v>4</v>
      </c>
      <c r="G1297" s="89" t="s">
        <v>822</v>
      </c>
      <c r="H1297" s="89" t="s">
        <v>823</v>
      </c>
      <c r="I1297" s="89" t="s">
        <v>32</v>
      </c>
      <c r="J1297" s="89" t="s">
        <v>57</v>
      </c>
      <c r="K1297" s="89" t="s">
        <v>6028</v>
      </c>
    </row>
    <row r="1298" spans="1:11" ht="71.25" x14ac:dyDescent="0.25">
      <c r="A1298" s="88">
        <v>108</v>
      </c>
      <c r="B1298" s="89" t="s">
        <v>5756</v>
      </c>
      <c r="C1298" s="88" t="s">
        <v>0</v>
      </c>
      <c r="D1298" s="89"/>
      <c r="E1298" s="46">
        <v>60229</v>
      </c>
      <c r="F1298" s="88">
        <v>4</v>
      </c>
      <c r="G1298" s="89" t="s">
        <v>821</v>
      </c>
      <c r="H1298" s="89" t="s">
        <v>239</v>
      </c>
      <c r="I1298" s="89" t="s">
        <v>66</v>
      </c>
      <c r="J1298" s="89" t="s">
        <v>125</v>
      </c>
      <c r="K1298" s="89" t="s">
        <v>6027</v>
      </c>
    </row>
    <row r="1299" spans="1:11" ht="71.25" x14ac:dyDescent="0.25">
      <c r="A1299" s="88">
        <v>108</v>
      </c>
      <c r="B1299" s="89" t="s">
        <v>824</v>
      </c>
      <c r="C1299" s="88" t="s">
        <v>0</v>
      </c>
      <c r="D1299" s="89"/>
      <c r="E1299" s="46">
        <v>18239</v>
      </c>
      <c r="F1299" s="88">
        <v>4</v>
      </c>
      <c r="G1299" s="89" t="s">
        <v>808</v>
      </c>
      <c r="H1299" s="89" t="s">
        <v>809</v>
      </c>
      <c r="I1299" s="89" t="s">
        <v>32</v>
      </c>
      <c r="J1299" s="89" t="s">
        <v>294</v>
      </c>
      <c r="K1299" s="89" t="str">
        <f>"00048373"</f>
        <v>00048373</v>
      </c>
    </row>
    <row r="1300" spans="1:11" ht="71.25" x14ac:dyDescent="0.25">
      <c r="A1300" s="88">
        <v>108</v>
      </c>
      <c r="B1300" s="89" t="s">
        <v>816</v>
      </c>
      <c r="C1300" s="88" t="s">
        <v>0</v>
      </c>
      <c r="D1300" s="89"/>
      <c r="E1300" s="46">
        <v>71229</v>
      </c>
      <c r="F1300" s="88">
        <v>4</v>
      </c>
      <c r="G1300" s="89" t="s">
        <v>817</v>
      </c>
      <c r="H1300" s="89" t="s">
        <v>818</v>
      </c>
      <c r="I1300" s="89" t="s">
        <v>17</v>
      </c>
      <c r="J1300" s="89" t="s">
        <v>819</v>
      </c>
      <c r="K1300" s="89" t="s">
        <v>6410</v>
      </c>
    </row>
    <row r="1301" spans="1:11" ht="42.75" x14ac:dyDescent="0.25">
      <c r="A1301" s="88">
        <v>108</v>
      </c>
      <c r="B1301" s="89" t="s">
        <v>3132</v>
      </c>
      <c r="C1301" s="88" t="s">
        <v>0</v>
      </c>
      <c r="D1301" s="89"/>
      <c r="E1301" s="46">
        <v>18000</v>
      </c>
      <c r="F1301" s="88">
        <v>4</v>
      </c>
      <c r="G1301" s="89" t="s">
        <v>3133</v>
      </c>
      <c r="H1301" s="89" t="s">
        <v>3134</v>
      </c>
      <c r="I1301" s="89" t="s">
        <v>32</v>
      </c>
      <c r="J1301" s="89" t="s">
        <v>3135</v>
      </c>
      <c r="K1301" s="89" t="str">
        <f>"00048791"</f>
        <v>00048791</v>
      </c>
    </row>
    <row r="1302" spans="1:11" ht="57" x14ac:dyDescent="0.25">
      <c r="A1302" s="88">
        <v>108</v>
      </c>
      <c r="B1302" s="89" t="s">
        <v>816</v>
      </c>
      <c r="C1302" s="88" t="s">
        <v>0</v>
      </c>
      <c r="D1302" s="89"/>
      <c r="E1302" s="46">
        <v>18000</v>
      </c>
      <c r="F1302" s="88">
        <v>4</v>
      </c>
      <c r="G1302" s="89" t="s">
        <v>3169</v>
      </c>
      <c r="H1302" s="89" t="s">
        <v>3170</v>
      </c>
      <c r="I1302" s="89" t="s">
        <v>17</v>
      </c>
      <c r="J1302" s="89" t="s">
        <v>819</v>
      </c>
      <c r="K1302" s="89" t="s">
        <v>6411</v>
      </c>
    </row>
    <row r="1303" spans="1:11" ht="42.75" x14ac:dyDescent="0.25">
      <c r="A1303" s="88">
        <v>108</v>
      </c>
      <c r="B1303" s="89" t="s">
        <v>1340</v>
      </c>
      <c r="C1303" s="88" t="s">
        <v>0</v>
      </c>
      <c r="D1303" s="89"/>
      <c r="E1303" s="46">
        <v>139764</v>
      </c>
      <c r="F1303" s="88">
        <v>4</v>
      </c>
      <c r="G1303" s="89" t="s">
        <v>3174</v>
      </c>
      <c r="H1303" s="89" t="s">
        <v>273</v>
      </c>
      <c r="I1303" s="89" t="s">
        <v>185</v>
      </c>
      <c r="J1303" s="89" t="s">
        <v>270</v>
      </c>
      <c r="K1303" s="89" t="s">
        <v>6412</v>
      </c>
    </row>
    <row r="1304" spans="1:11" ht="42.75" x14ac:dyDescent="0.25">
      <c r="A1304" s="88">
        <v>108</v>
      </c>
      <c r="B1304" s="89" t="s">
        <v>1340</v>
      </c>
      <c r="C1304" s="88" t="s">
        <v>0</v>
      </c>
      <c r="D1304" s="89"/>
      <c r="E1304" s="46">
        <v>135595</v>
      </c>
      <c r="F1304" s="88">
        <v>4</v>
      </c>
      <c r="G1304" s="89" t="s">
        <v>3163</v>
      </c>
      <c r="H1304" s="89" t="s">
        <v>3164</v>
      </c>
      <c r="I1304" s="89" t="s">
        <v>237</v>
      </c>
      <c r="J1304" s="89" t="s">
        <v>3165</v>
      </c>
      <c r="K1304" s="89" t="s">
        <v>5920</v>
      </c>
    </row>
    <row r="1305" spans="1:11" ht="85.5" x14ac:dyDescent="0.25">
      <c r="A1305" s="88">
        <v>108</v>
      </c>
      <c r="B1305" s="89" t="s">
        <v>5757</v>
      </c>
      <c r="C1305" s="88" t="s">
        <v>0</v>
      </c>
      <c r="D1305" s="89"/>
      <c r="E1305" s="46">
        <v>40000</v>
      </c>
      <c r="F1305" s="88">
        <v>4</v>
      </c>
      <c r="G1305" s="89" t="s">
        <v>3167</v>
      </c>
      <c r="H1305" s="89" t="s">
        <v>3168</v>
      </c>
      <c r="I1305" s="89" t="s">
        <v>17</v>
      </c>
      <c r="J1305" s="89" t="s">
        <v>819</v>
      </c>
      <c r="K1305" s="89" t="s">
        <v>5919</v>
      </c>
    </row>
    <row r="1306" spans="1:11" ht="42.75" x14ac:dyDescent="0.25">
      <c r="A1306" s="88">
        <v>108</v>
      </c>
      <c r="B1306" s="89" t="s">
        <v>3171</v>
      </c>
      <c r="C1306" s="88" t="s">
        <v>0</v>
      </c>
      <c r="D1306" s="89"/>
      <c r="E1306" s="46">
        <v>76280</v>
      </c>
      <c r="F1306" s="88">
        <v>4</v>
      </c>
      <c r="G1306" s="89" t="s">
        <v>3172</v>
      </c>
      <c r="H1306" s="89" t="s">
        <v>3173</v>
      </c>
      <c r="I1306" s="89" t="s">
        <v>2231</v>
      </c>
      <c r="J1306" s="89" t="s">
        <v>2232</v>
      </c>
      <c r="K1306" s="89" t="s">
        <v>6413</v>
      </c>
    </row>
    <row r="1307" spans="1:11" ht="71.25" x14ac:dyDescent="0.25">
      <c r="A1307" s="88">
        <v>108</v>
      </c>
      <c r="B1307" s="89" t="s">
        <v>5758</v>
      </c>
      <c r="C1307" s="88" t="s">
        <v>0</v>
      </c>
      <c r="D1307" s="89"/>
      <c r="E1307" s="46">
        <v>27940</v>
      </c>
      <c r="F1307" s="88">
        <v>4</v>
      </c>
      <c r="G1307" s="89" t="s">
        <v>3162</v>
      </c>
      <c r="H1307" s="89" t="s">
        <v>556</v>
      </c>
      <c r="I1307" s="89" t="s">
        <v>66</v>
      </c>
      <c r="J1307" s="89" t="s">
        <v>717</v>
      </c>
      <c r="K1307" s="89" t="s">
        <v>6030</v>
      </c>
    </row>
    <row r="1308" spans="1:11" ht="85.5" x14ac:dyDescent="0.25">
      <c r="A1308" s="88">
        <v>108</v>
      </c>
      <c r="B1308" s="89" t="s">
        <v>5759</v>
      </c>
      <c r="C1308" s="88" t="s">
        <v>0</v>
      </c>
      <c r="D1308" s="89"/>
      <c r="E1308" s="46">
        <v>95491</v>
      </c>
      <c r="F1308" s="88">
        <v>4</v>
      </c>
      <c r="G1308" s="89" t="s">
        <v>3139</v>
      </c>
      <c r="H1308" s="89" t="s">
        <v>3140</v>
      </c>
      <c r="I1308" s="89" t="s">
        <v>32</v>
      </c>
      <c r="J1308" s="89" t="s">
        <v>3013</v>
      </c>
      <c r="K1308" s="89" t="s">
        <v>6029</v>
      </c>
    </row>
    <row r="1309" spans="1:11" ht="85.5" x14ac:dyDescent="0.25">
      <c r="A1309" s="88">
        <v>108</v>
      </c>
      <c r="B1309" s="89" t="s">
        <v>3132</v>
      </c>
      <c r="C1309" s="88" t="s">
        <v>0</v>
      </c>
      <c r="D1309" s="89"/>
      <c r="E1309" s="46">
        <v>103086</v>
      </c>
      <c r="F1309" s="88">
        <v>4</v>
      </c>
      <c r="G1309" s="89" t="s">
        <v>3141</v>
      </c>
      <c r="H1309" s="89" t="s">
        <v>3142</v>
      </c>
      <c r="I1309" s="89" t="s">
        <v>32</v>
      </c>
      <c r="J1309" s="89" t="s">
        <v>3143</v>
      </c>
      <c r="K1309" s="89" t="str">
        <f>"00049138"</f>
        <v>00049138</v>
      </c>
    </row>
    <row r="1310" spans="1:11" ht="57" x14ac:dyDescent="0.25">
      <c r="A1310" s="88">
        <v>108</v>
      </c>
      <c r="B1310" s="89" t="s">
        <v>3146</v>
      </c>
      <c r="C1310" s="88" t="s">
        <v>0</v>
      </c>
      <c r="D1310" s="89"/>
      <c r="E1310" s="46">
        <v>1000</v>
      </c>
      <c r="F1310" s="88">
        <v>4</v>
      </c>
      <c r="G1310" s="89" t="s">
        <v>3147</v>
      </c>
      <c r="H1310" s="89" t="s">
        <v>3148</v>
      </c>
      <c r="I1310" s="89" t="s">
        <v>185</v>
      </c>
      <c r="J1310" s="89" t="s">
        <v>270</v>
      </c>
      <c r="K1310" s="89" t="str">
        <f>"00050139"</f>
        <v>00050139</v>
      </c>
    </row>
    <row r="1311" spans="1:11" ht="57" x14ac:dyDescent="0.25">
      <c r="A1311" s="88">
        <v>108</v>
      </c>
      <c r="B1311" s="89" t="s">
        <v>1340</v>
      </c>
      <c r="C1311" s="88" t="s">
        <v>0</v>
      </c>
      <c r="D1311" s="89"/>
      <c r="E1311" s="46">
        <v>83533</v>
      </c>
      <c r="F1311" s="88">
        <v>4</v>
      </c>
      <c r="G1311" s="89" t="s">
        <v>3144</v>
      </c>
      <c r="H1311" s="89" t="s">
        <v>3145</v>
      </c>
      <c r="I1311" s="89" t="s">
        <v>173</v>
      </c>
      <c r="J1311" s="89" t="s">
        <v>427</v>
      </c>
      <c r="K1311" s="89" t="s">
        <v>6072</v>
      </c>
    </row>
    <row r="1312" spans="1:11" ht="42.75" x14ac:dyDescent="0.25">
      <c r="A1312" s="88">
        <v>108</v>
      </c>
      <c r="B1312" s="89" t="s">
        <v>3149</v>
      </c>
      <c r="C1312" s="88" t="s">
        <v>0</v>
      </c>
      <c r="D1312" s="89"/>
      <c r="E1312" s="46">
        <v>13632</v>
      </c>
      <c r="F1312" s="88">
        <v>4</v>
      </c>
      <c r="G1312" s="89" t="s">
        <v>3150</v>
      </c>
      <c r="H1312" s="89" t="s">
        <v>3151</v>
      </c>
      <c r="I1312" s="89" t="s">
        <v>156</v>
      </c>
      <c r="J1312" s="89" t="s">
        <v>3152</v>
      </c>
      <c r="K1312" s="89" t="str">
        <f>"00050299"</f>
        <v>00050299</v>
      </c>
    </row>
    <row r="1313" spans="1:11" ht="71.25" x14ac:dyDescent="0.25">
      <c r="A1313" s="88">
        <v>108</v>
      </c>
      <c r="B1313" s="89" t="s">
        <v>3136</v>
      </c>
      <c r="C1313" s="88" t="s">
        <v>0</v>
      </c>
      <c r="D1313" s="89"/>
      <c r="E1313" s="46">
        <v>41963</v>
      </c>
      <c r="F1313" s="88">
        <v>4</v>
      </c>
      <c r="G1313" s="89" t="s">
        <v>3137</v>
      </c>
      <c r="H1313" s="89" t="s">
        <v>3138</v>
      </c>
      <c r="I1313" s="89" t="s">
        <v>32</v>
      </c>
      <c r="J1313" s="89" t="s">
        <v>294</v>
      </c>
      <c r="K1313" s="89" t="s">
        <v>6073</v>
      </c>
    </row>
    <row r="1314" spans="1:11" ht="85.5" x14ac:dyDescent="0.25">
      <c r="A1314" s="88">
        <v>108</v>
      </c>
      <c r="B1314" s="89" t="s">
        <v>3146</v>
      </c>
      <c r="C1314" s="88" t="s">
        <v>0</v>
      </c>
      <c r="D1314" s="89"/>
      <c r="E1314" s="46">
        <v>10000</v>
      </c>
      <c r="F1314" s="88">
        <v>4</v>
      </c>
      <c r="G1314" s="89" t="s">
        <v>3159</v>
      </c>
      <c r="H1314" s="89" t="s">
        <v>3160</v>
      </c>
      <c r="I1314" s="89" t="s">
        <v>32</v>
      </c>
      <c r="J1314" s="89" t="s">
        <v>3161</v>
      </c>
      <c r="K1314" s="89" t="str">
        <f>"00050460"</f>
        <v>00050460</v>
      </c>
    </row>
    <row r="1315" spans="1:11" ht="42.75" x14ac:dyDescent="0.25">
      <c r="A1315" s="88">
        <v>108</v>
      </c>
      <c r="B1315" s="89" t="s">
        <v>3186</v>
      </c>
      <c r="C1315" s="88" t="s">
        <v>0</v>
      </c>
      <c r="D1315" s="89"/>
      <c r="E1315" s="46">
        <v>40000</v>
      </c>
      <c r="F1315" s="88">
        <v>4</v>
      </c>
      <c r="G1315" s="89" t="s">
        <v>3214</v>
      </c>
      <c r="H1315" s="89" t="s">
        <v>3215</v>
      </c>
      <c r="I1315" s="89" t="s">
        <v>588</v>
      </c>
      <c r="J1315" s="89" t="s">
        <v>589</v>
      </c>
      <c r="K1315" s="89" t="s">
        <v>6414</v>
      </c>
    </row>
    <row r="1316" spans="1:11" ht="57" x14ac:dyDescent="0.25">
      <c r="A1316" s="88">
        <v>108</v>
      </c>
      <c r="B1316" s="89" t="s">
        <v>1340</v>
      </c>
      <c r="C1316" s="88" t="s">
        <v>0</v>
      </c>
      <c r="D1316" s="89"/>
      <c r="E1316" s="46">
        <v>36884</v>
      </c>
      <c r="F1316" s="88">
        <v>4</v>
      </c>
      <c r="G1316" s="89" t="s">
        <v>3212</v>
      </c>
      <c r="H1316" s="89" t="s">
        <v>3213</v>
      </c>
      <c r="I1316" s="89" t="s">
        <v>66</v>
      </c>
      <c r="J1316" s="89" t="s">
        <v>2396</v>
      </c>
      <c r="K1316" s="89" t="s">
        <v>6032</v>
      </c>
    </row>
    <row r="1317" spans="1:11" ht="99.75" x14ac:dyDescent="0.25">
      <c r="A1317" s="88">
        <v>108</v>
      </c>
      <c r="B1317" s="89" t="s">
        <v>3149</v>
      </c>
      <c r="C1317" s="88" t="s">
        <v>0</v>
      </c>
      <c r="D1317" s="89"/>
      <c r="E1317" s="46">
        <v>36368</v>
      </c>
      <c r="F1317" s="88">
        <v>4</v>
      </c>
      <c r="G1317" s="89" t="s">
        <v>3156</v>
      </c>
      <c r="H1317" s="89" t="s">
        <v>3157</v>
      </c>
      <c r="I1317" s="89" t="s">
        <v>66</v>
      </c>
      <c r="J1317" s="89" t="s">
        <v>3158</v>
      </c>
      <c r="K1317" s="89" t="s">
        <v>6031</v>
      </c>
    </row>
    <row r="1318" spans="1:11" ht="99.75" x14ac:dyDescent="0.25">
      <c r="A1318" s="88">
        <v>108</v>
      </c>
      <c r="B1318" s="89" t="s">
        <v>1340</v>
      </c>
      <c r="C1318" s="88" t="s">
        <v>0</v>
      </c>
      <c r="D1318" s="89"/>
      <c r="E1318" s="46">
        <v>182539</v>
      </c>
      <c r="F1318" s="88">
        <v>4</v>
      </c>
      <c r="G1318" s="89" t="s">
        <v>3153</v>
      </c>
      <c r="H1318" s="89" t="s">
        <v>3154</v>
      </c>
      <c r="I1318" s="89" t="s">
        <v>32</v>
      </c>
      <c r="J1318" s="89" t="s">
        <v>3155</v>
      </c>
      <c r="K1318" s="89" t="s">
        <v>6418</v>
      </c>
    </row>
    <row r="1319" spans="1:11" ht="85.5" x14ac:dyDescent="0.25">
      <c r="A1319" s="88">
        <v>108</v>
      </c>
      <c r="B1319" s="89" t="s">
        <v>3203</v>
      </c>
      <c r="C1319" s="88" t="s">
        <v>0</v>
      </c>
      <c r="D1319" s="89"/>
      <c r="E1319" s="46">
        <v>70376</v>
      </c>
      <c r="F1319" s="88">
        <v>4</v>
      </c>
      <c r="G1319" s="89" t="s">
        <v>3204</v>
      </c>
      <c r="H1319" s="89" t="s">
        <v>3205</v>
      </c>
      <c r="I1319" s="89" t="s">
        <v>32</v>
      </c>
      <c r="J1319" s="89" t="s">
        <v>6415</v>
      </c>
      <c r="K1319" s="89" t="s">
        <v>6416</v>
      </c>
    </row>
    <row r="1320" spans="1:11" ht="99.75" x14ac:dyDescent="0.25">
      <c r="A1320" s="88">
        <v>108</v>
      </c>
      <c r="B1320" s="89" t="s">
        <v>3203</v>
      </c>
      <c r="C1320" s="88" t="s">
        <v>0</v>
      </c>
      <c r="D1320" s="89"/>
      <c r="E1320" s="46">
        <v>120000</v>
      </c>
      <c r="F1320" s="88">
        <v>4</v>
      </c>
      <c r="G1320" s="89" t="s">
        <v>3207</v>
      </c>
      <c r="H1320" s="89" t="s">
        <v>3208</v>
      </c>
      <c r="I1320" s="89" t="s">
        <v>32</v>
      </c>
      <c r="J1320" s="89" t="s">
        <v>3209</v>
      </c>
      <c r="K1320" s="89" t="s">
        <v>6417</v>
      </c>
    </row>
    <row r="1321" spans="1:11" ht="57" x14ac:dyDescent="0.25">
      <c r="A1321" s="88">
        <v>108</v>
      </c>
      <c r="B1321" s="89" t="s">
        <v>820</v>
      </c>
      <c r="C1321" s="88" t="s">
        <v>0</v>
      </c>
      <c r="D1321" s="89"/>
      <c r="E1321" s="46">
        <v>2923</v>
      </c>
      <c r="F1321" s="88">
        <v>4</v>
      </c>
      <c r="G1321" s="89" t="s">
        <v>3210</v>
      </c>
      <c r="H1321" s="89" t="s">
        <v>3211</v>
      </c>
      <c r="I1321" s="89" t="s">
        <v>32</v>
      </c>
      <c r="J1321" s="89" t="s">
        <v>118</v>
      </c>
      <c r="K1321" s="89" t="str">
        <f>"00051460"</f>
        <v>00051460</v>
      </c>
    </row>
    <row r="1322" spans="1:11" ht="85.5" x14ac:dyDescent="0.25">
      <c r="A1322" s="88">
        <v>108</v>
      </c>
      <c r="B1322" s="89" t="s">
        <v>3198</v>
      </c>
      <c r="C1322" s="88" t="s">
        <v>0</v>
      </c>
      <c r="D1322" s="89"/>
      <c r="E1322" s="46">
        <v>60824</v>
      </c>
      <c r="F1322" s="88">
        <v>4</v>
      </c>
      <c r="G1322" s="89" t="s">
        <v>3199</v>
      </c>
      <c r="H1322" s="89" t="s">
        <v>3200</v>
      </c>
      <c r="I1322" s="89" t="s">
        <v>588</v>
      </c>
      <c r="J1322" s="89" t="s">
        <v>589</v>
      </c>
      <c r="K1322" s="89" t="str">
        <f>"00051043"</f>
        <v>00051043</v>
      </c>
    </row>
    <row r="1323" spans="1:11" ht="57" x14ac:dyDescent="0.25">
      <c r="A1323" s="88">
        <v>108</v>
      </c>
      <c r="B1323" s="89" t="s">
        <v>820</v>
      </c>
      <c r="C1323" s="88" t="s">
        <v>0</v>
      </c>
      <c r="D1323" s="89"/>
      <c r="E1323" s="46">
        <v>20120</v>
      </c>
      <c r="F1323" s="88">
        <v>4</v>
      </c>
      <c r="G1323" s="89" t="s">
        <v>3197</v>
      </c>
      <c r="H1323" s="89" t="s">
        <v>2332</v>
      </c>
      <c r="I1323" s="89" t="s">
        <v>32</v>
      </c>
      <c r="J1323" s="89" t="s">
        <v>118</v>
      </c>
      <c r="K1323" s="89" t="str">
        <f>"00051596"</f>
        <v>00051596</v>
      </c>
    </row>
    <row r="1324" spans="1:11" ht="42.75" x14ac:dyDescent="0.25">
      <c r="A1324" s="88">
        <v>108</v>
      </c>
      <c r="B1324" s="89" t="s">
        <v>3186</v>
      </c>
      <c r="C1324" s="88" t="s">
        <v>0</v>
      </c>
      <c r="D1324" s="89"/>
      <c r="E1324" s="46">
        <v>48312</v>
      </c>
      <c r="F1324" s="88">
        <v>4</v>
      </c>
      <c r="G1324" s="89" t="s">
        <v>3201</v>
      </c>
      <c r="H1324" s="89" t="s">
        <v>1954</v>
      </c>
      <c r="I1324" s="89" t="s">
        <v>746</v>
      </c>
      <c r="J1324" s="89" t="s">
        <v>747</v>
      </c>
      <c r="K1324" s="89" t="s">
        <v>6033</v>
      </c>
    </row>
    <row r="1325" spans="1:11" ht="42.75" x14ac:dyDescent="0.25">
      <c r="A1325" s="88">
        <v>108</v>
      </c>
      <c r="B1325" s="89" t="s">
        <v>1887</v>
      </c>
      <c r="C1325" s="88" t="s">
        <v>0</v>
      </c>
      <c r="D1325" s="89"/>
      <c r="E1325" s="46">
        <v>52189</v>
      </c>
      <c r="F1325" s="88">
        <v>4</v>
      </c>
      <c r="G1325" s="89" t="s">
        <v>3202</v>
      </c>
      <c r="H1325" s="89" t="s">
        <v>2958</v>
      </c>
      <c r="I1325" s="89" t="s">
        <v>66</v>
      </c>
      <c r="J1325" s="89" t="s">
        <v>99</v>
      </c>
      <c r="K1325" s="89" t="s">
        <v>6034</v>
      </c>
    </row>
    <row r="1326" spans="1:11" ht="85.5" x14ac:dyDescent="0.25">
      <c r="A1326" s="88">
        <v>108</v>
      </c>
      <c r="B1326" s="89" t="s">
        <v>810</v>
      </c>
      <c r="C1326" s="88" t="s">
        <v>0</v>
      </c>
      <c r="D1326" s="89"/>
      <c r="E1326" s="46">
        <v>55729</v>
      </c>
      <c r="F1326" s="88">
        <v>4</v>
      </c>
      <c r="G1326" s="89" t="s">
        <v>3191</v>
      </c>
      <c r="H1326" s="89" t="s">
        <v>3192</v>
      </c>
      <c r="I1326" s="89" t="s">
        <v>161</v>
      </c>
      <c r="J1326" s="89" t="s">
        <v>3177</v>
      </c>
      <c r="K1326" s="89" t="s">
        <v>6603</v>
      </c>
    </row>
    <row r="1327" spans="1:11" ht="57" x14ac:dyDescent="0.25">
      <c r="A1327" s="88">
        <v>108</v>
      </c>
      <c r="B1327" s="89" t="s">
        <v>1340</v>
      </c>
      <c r="C1327" s="88" t="s">
        <v>0</v>
      </c>
      <c r="D1327" s="89"/>
      <c r="E1327" s="46">
        <v>36884</v>
      </c>
      <c r="F1327" s="88">
        <v>4</v>
      </c>
      <c r="G1327" s="89" t="s">
        <v>3212</v>
      </c>
      <c r="H1327" s="89" t="s">
        <v>3213</v>
      </c>
      <c r="I1327" s="89" t="s">
        <v>66</v>
      </c>
      <c r="J1327" s="89" t="s">
        <v>2396</v>
      </c>
      <c r="K1327" s="89" t="s">
        <v>6604</v>
      </c>
    </row>
    <row r="1328" spans="1:11" ht="85.5" x14ac:dyDescent="0.25">
      <c r="A1328" s="88">
        <v>108</v>
      </c>
      <c r="B1328" s="89" t="s">
        <v>810</v>
      </c>
      <c r="C1328" s="88" t="s">
        <v>0</v>
      </c>
      <c r="D1328" s="89"/>
      <c r="E1328" s="46">
        <v>57779</v>
      </c>
      <c r="F1328" s="88">
        <v>4</v>
      </c>
      <c r="G1328" s="89" t="s">
        <v>3175</v>
      </c>
      <c r="H1328" s="89" t="s">
        <v>3176</v>
      </c>
      <c r="I1328" s="89" t="s">
        <v>161</v>
      </c>
      <c r="J1328" s="89" t="s">
        <v>3177</v>
      </c>
      <c r="K1328" s="89" t="s">
        <v>6602</v>
      </c>
    </row>
    <row r="1329" spans="1:11" ht="57" x14ac:dyDescent="0.25">
      <c r="A1329" s="88">
        <v>108</v>
      </c>
      <c r="B1329" s="89" t="s">
        <v>810</v>
      </c>
      <c r="C1329" s="88" t="s">
        <v>0</v>
      </c>
      <c r="D1329" s="89"/>
      <c r="E1329" s="46">
        <v>15320</v>
      </c>
      <c r="F1329" s="88">
        <v>4</v>
      </c>
      <c r="G1329" s="89" t="s">
        <v>5760</v>
      </c>
      <c r="H1329" s="89" t="s">
        <v>5754</v>
      </c>
      <c r="I1329" s="89" t="s">
        <v>5761</v>
      </c>
      <c r="J1329" s="89" t="s">
        <v>5762</v>
      </c>
      <c r="K1329" s="89" t="s">
        <v>6601</v>
      </c>
    </row>
    <row r="1330" spans="1:11" ht="42.75" x14ac:dyDescent="0.25">
      <c r="A1330" s="88">
        <v>108</v>
      </c>
      <c r="B1330" s="89" t="s">
        <v>3194</v>
      </c>
      <c r="C1330" s="88" t="s">
        <v>0</v>
      </c>
      <c r="D1330" s="89"/>
      <c r="E1330" s="109">
        <v>28925</v>
      </c>
      <c r="F1330" s="88">
        <v>4</v>
      </c>
      <c r="G1330" s="89" t="s">
        <v>3195</v>
      </c>
      <c r="H1330" s="89" t="s">
        <v>3196</v>
      </c>
      <c r="I1330" s="89" t="s">
        <v>66</v>
      </c>
      <c r="J1330" s="89" t="s">
        <v>99</v>
      </c>
      <c r="K1330" s="89" t="str">
        <f>"00053051"</f>
        <v>00053051</v>
      </c>
    </row>
    <row r="1331" spans="1:11" ht="71.25" x14ac:dyDescent="0.25">
      <c r="A1331" s="88">
        <v>108</v>
      </c>
      <c r="B1331" s="89" t="s">
        <v>3178</v>
      </c>
      <c r="C1331" s="88" t="s">
        <v>0</v>
      </c>
      <c r="D1331" s="89"/>
      <c r="E1331" s="46">
        <v>153176</v>
      </c>
      <c r="F1331" s="88">
        <v>4</v>
      </c>
      <c r="G1331" s="89" t="s">
        <v>3179</v>
      </c>
      <c r="H1331" s="89" t="s">
        <v>3180</v>
      </c>
      <c r="I1331" s="89" t="s">
        <v>17</v>
      </c>
      <c r="J1331" s="89" t="s">
        <v>18</v>
      </c>
      <c r="K1331" s="89" t="s">
        <v>6600</v>
      </c>
    </row>
    <row r="1332" spans="1:11" ht="71.25" x14ac:dyDescent="0.25">
      <c r="A1332" s="88">
        <v>108</v>
      </c>
      <c r="B1332" s="89" t="s">
        <v>3178</v>
      </c>
      <c r="C1332" s="88" t="s">
        <v>0</v>
      </c>
      <c r="D1332" s="89"/>
      <c r="E1332" s="46">
        <v>97113</v>
      </c>
      <c r="F1332" s="88">
        <v>4</v>
      </c>
      <c r="G1332" s="89" t="s">
        <v>3181</v>
      </c>
      <c r="H1332" s="89" t="s">
        <v>3182</v>
      </c>
      <c r="I1332" s="89" t="s">
        <v>32</v>
      </c>
      <c r="J1332" s="89" t="s">
        <v>423</v>
      </c>
      <c r="K1332" s="89" t="s">
        <v>5921</v>
      </c>
    </row>
    <row r="1333" spans="1:11" ht="57" x14ac:dyDescent="0.25">
      <c r="A1333" s="88">
        <v>108</v>
      </c>
      <c r="B1333" s="89" t="s">
        <v>3136</v>
      </c>
      <c r="C1333" s="88" t="s">
        <v>0</v>
      </c>
      <c r="D1333" s="89"/>
      <c r="E1333" s="46">
        <v>87901</v>
      </c>
      <c r="F1333" s="88">
        <v>4</v>
      </c>
      <c r="G1333" s="89" t="s">
        <v>3183</v>
      </c>
      <c r="H1333" s="89" t="s">
        <v>3184</v>
      </c>
      <c r="I1333" s="89" t="s">
        <v>242</v>
      </c>
      <c r="J1333" s="89" t="s">
        <v>3185</v>
      </c>
      <c r="K1333" s="89" t="s">
        <v>6035</v>
      </c>
    </row>
    <row r="1334" spans="1:11" ht="57" x14ac:dyDescent="0.25">
      <c r="A1334" s="88">
        <v>108</v>
      </c>
      <c r="B1334" s="89" t="s">
        <v>3186</v>
      </c>
      <c r="C1334" s="88" t="s">
        <v>0</v>
      </c>
      <c r="D1334" s="89"/>
      <c r="E1334" s="46">
        <v>50000</v>
      </c>
      <c r="F1334" s="88">
        <v>4</v>
      </c>
      <c r="G1334" s="89" t="s">
        <v>3187</v>
      </c>
      <c r="H1334" s="89" t="s">
        <v>3193</v>
      </c>
      <c r="I1334" s="89" t="s">
        <v>3189</v>
      </c>
      <c r="J1334" s="89" t="s">
        <v>3190</v>
      </c>
      <c r="K1334" s="89" t="s">
        <v>6036</v>
      </c>
    </row>
    <row r="1335" spans="1:11" ht="57" x14ac:dyDescent="0.25">
      <c r="A1335" s="88">
        <v>108</v>
      </c>
      <c r="B1335" s="89" t="s">
        <v>3186</v>
      </c>
      <c r="C1335" s="88" t="s">
        <v>0</v>
      </c>
      <c r="D1335" s="89"/>
      <c r="E1335" s="46">
        <v>50000</v>
      </c>
      <c r="F1335" s="88">
        <v>4</v>
      </c>
      <c r="G1335" s="89" t="s">
        <v>3187</v>
      </c>
      <c r="H1335" s="89" t="s">
        <v>3188</v>
      </c>
      <c r="I1335" s="89" t="s">
        <v>3189</v>
      </c>
      <c r="J1335" s="89" t="s">
        <v>3190</v>
      </c>
      <c r="K1335" s="89" t="s">
        <v>6599</v>
      </c>
    </row>
    <row r="1336" spans="1:11" ht="42.75" x14ac:dyDescent="0.25">
      <c r="A1336" s="88">
        <v>108</v>
      </c>
      <c r="B1336" s="89" t="s">
        <v>3216</v>
      </c>
      <c r="C1336" s="88" t="s">
        <v>0</v>
      </c>
      <c r="D1336" s="89"/>
      <c r="E1336" s="109">
        <v>32000</v>
      </c>
      <c r="F1336" s="88">
        <v>4</v>
      </c>
      <c r="G1336" s="89" t="s">
        <v>3217</v>
      </c>
      <c r="H1336" s="89" t="s">
        <v>3218</v>
      </c>
      <c r="I1336" s="89" t="s">
        <v>66</v>
      </c>
      <c r="J1336" s="89" t="s">
        <v>302</v>
      </c>
      <c r="K1336" s="89" t="str">
        <f>"00051047"</f>
        <v>00051047</v>
      </c>
    </row>
    <row r="1337" spans="1:11" ht="99.75" x14ac:dyDescent="0.25">
      <c r="A1337" s="88">
        <v>108</v>
      </c>
      <c r="B1337" s="89" t="s">
        <v>3219</v>
      </c>
      <c r="C1337" s="88" t="s">
        <v>0</v>
      </c>
      <c r="D1337" s="89"/>
      <c r="E1337" s="46">
        <v>15000</v>
      </c>
      <c r="F1337" s="88">
        <v>4</v>
      </c>
      <c r="G1337" s="89" t="s">
        <v>3156</v>
      </c>
      <c r="H1337" s="89" t="s">
        <v>3157</v>
      </c>
      <c r="I1337" s="89" t="s">
        <v>66</v>
      </c>
      <c r="J1337" s="89" t="s">
        <v>3158</v>
      </c>
      <c r="K1337" s="89" t="s">
        <v>6598</v>
      </c>
    </row>
    <row r="1338" spans="1:11" ht="71.25" x14ac:dyDescent="0.25">
      <c r="A1338" s="88">
        <v>108</v>
      </c>
      <c r="B1338" s="89" t="s">
        <v>4387</v>
      </c>
      <c r="C1338" s="88" t="s">
        <v>0</v>
      </c>
      <c r="D1338" s="89"/>
      <c r="E1338" s="46">
        <v>60000</v>
      </c>
      <c r="F1338" s="88">
        <v>4</v>
      </c>
      <c r="G1338" s="89" t="s">
        <v>4458</v>
      </c>
      <c r="H1338" s="89" t="s">
        <v>4478</v>
      </c>
      <c r="I1338" s="89" t="s">
        <v>32</v>
      </c>
      <c r="J1338" s="89" t="s">
        <v>3135</v>
      </c>
      <c r="K1338" s="89" t="str">
        <f>"00049185"</f>
        <v>00049185</v>
      </c>
    </row>
    <row r="1339" spans="1:11" ht="42.75" x14ac:dyDescent="0.25">
      <c r="A1339" s="88">
        <v>108</v>
      </c>
      <c r="B1339" s="89" t="s">
        <v>4479</v>
      </c>
      <c r="C1339" s="88" t="s">
        <v>0</v>
      </c>
      <c r="D1339" s="89"/>
      <c r="E1339" s="46">
        <v>50000</v>
      </c>
      <c r="F1339" s="88">
        <v>4</v>
      </c>
      <c r="G1339" s="89" t="s">
        <v>4480</v>
      </c>
      <c r="H1339" s="89" t="s">
        <v>4481</v>
      </c>
      <c r="I1339" s="89" t="s">
        <v>32</v>
      </c>
      <c r="J1339" s="89" t="s">
        <v>3135</v>
      </c>
      <c r="K1339" s="89" t="str">
        <f>"00049081"</f>
        <v>00049081</v>
      </c>
    </row>
    <row r="1340" spans="1:11" ht="42.75" x14ac:dyDescent="0.25">
      <c r="A1340" s="88">
        <v>108</v>
      </c>
      <c r="B1340" s="89" t="s">
        <v>4189</v>
      </c>
      <c r="C1340" s="88" t="s">
        <v>0</v>
      </c>
      <c r="D1340" s="89"/>
      <c r="E1340" s="46">
        <v>19549</v>
      </c>
      <c r="F1340" s="88">
        <v>4</v>
      </c>
      <c r="G1340" s="89" t="s">
        <v>4294</v>
      </c>
      <c r="H1340" s="89" t="s">
        <v>4295</v>
      </c>
      <c r="I1340" s="89" t="s">
        <v>32</v>
      </c>
      <c r="J1340" s="89" t="s">
        <v>57</v>
      </c>
      <c r="K1340" s="89" t="str">
        <f>"00046919"</f>
        <v>00046919</v>
      </c>
    </row>
    <row r="1341" spans="1:11" ht="71.25" x14ac:dyDescent="0.25">
      <c r="A1341" s="88">
        <v>108</v>
      </c>
      <c r="B1341" s="89" t="s">
        <v>4387</v>
      </c>
      <c r="C1341" s="88" t="s">
        <v>0</v>
      </c>
      <c r="D1341" s="89"/>
      <c r="E1341" s="46">
        <v>80593</v>
      </c>
      <c r="F1341" s="88">
        <v>4</v>
      </c>
      <c r="G1341" s="89" t="s">
        <v>4458</v>
      </c>
      <c r="H1341" s="89" t="s">
        <v>4459</v>
      </c>
      <c r="I1341" s="89" t="s">
        <v>32</v>
      </c>
      <c r="J1341" s="89" t="s">
        <v>3135</v>
      </c>
      <c r="K1341" s="89" t="str">
        <f>"00049942"</f>
        <v>00049942</v>
      </c>
    </row>
    <row r="1342" spans="1:11" ht="71.25" x14ac:dyDescent="0.25">
      <c r="A1342" s="88">
        <v>108</v>
      </c>
      <c r="B1342" s="89" t="s">
        <v>4387</v>
      </c>
      <c r="C1342" s="88" t="s">
        <v>0</v>
      </c>
      <c r="D1342" s="89"/>
      <c r="E1342" s="46">
        <v>60000</v>
      </c>
      <c r="F1342" s="88">
        <v>4</v>
      </c>
      <c r="G1342" s="89" t="s">
        <v>4581</v>
      </c>
      <c r="H1342" s="89" t="s">
        <v>4582</v>
      </c>
      <c r="I1342" s="89" t="s">
        <v>209</v>
      </c>
      <c r="J1342" s="89" t="s">
        <v>1890</v>
      </c>
      <c r="K1342" s="89" t="str">
        <f>"00051459"</f>
        <v>00051459</v>
      </c>
    </row>
    <row r="1343" spans="1:11" ht="99.75" x14ac:dyDescent="0.25">
      <c r="A1343" s="88">
        <v>108</v>
      </c>
      <c r="B1343" s="89" t="s">
        <v>4461</v>
      </c>
      <c r="C1343" s="88" t="s">
        <v>0</v>
      </c>
      <c r="D1343" s="89"/>
      <c r="E1343" s="46">
        <v>50000</v>
      </c>
      <c r="F1343" s="88">
        <v>4</v>
      </c>
      <c r="G1343" s="89" t="s">
        <v>4462</v>
      </c>
      <c r="H1343" s="89" t="s">
        <v>4463</v>
      </c>
      <c r="I1343" s="89" t="s">
        <v>32</v>
      </c>
      <c r="J1343" s="89" t="s">
        <v>3135</v>
      </c>
      <c r="K1343" s="89" t="str">
        <f>"00048785"</f>
        <v>00048785</v>
      </c>
    </row>
    <row r="1344" spans="1:11" ht="42.75" x14ac:dyDescent="0.25">
      <c r="A1344" s="88">
        <v>108</v>
      </c>
      <c r="B1344" s="89" t="s">
        <v>4301</v>
      </c>
      <c r="C1344" s="88" t="s">
        <v>0</v>
      </c>
      <c r="D1344" s="89"/>
      <c r="E1344" s="46">
        <v>50160</v>
      </c>
      <c r="F1344" s="88">
        <v>4</v>
      </c>
      <c r="G1344" s="89" t="s">
        <v>4302</v>
      </c>
      <c r="H1344" s="89" t="s">
        <v>4297</v>
      </c>
      <c r="I1344" s="89" t="s">
        <v>849</v>
      </c>
      <c r="J1344" s="89" t="s">
        <v>2653</v>
      </c>
      <c r="K1344" s="89" t="str">
        <f>"00047713"</f>
        <v>00047713</v>
      </c>
    </row>
    <row r="1345" spans="1:11" ht="42.75" x14ac:dyDescent="0.25">
      <c r="A1345" s="88">
        <v>108</v>
      </c>
      <c r="B1345" s="89" t="s">
        <v>4461</v>
      </c>
      <c r="C1345" s="88" t="s">
        <v>0</v>
      </c>
      <c r="D1345" s="89"/>
      <c r="E1345" s="46">
        <v>32000</v>
      </c>
      <c r="F1345" s="88">
        <v>4</v>
      </c>
      <c r="G1345" s="89" t="s">
        <v>3133</v>
      </c>
      <c r="H1345" s="89" t="s">
        <v>3134</v>
      </c>
      <c r="I1345" s="89" t="s">
        <v>32</v>
      </c>
      <c r="J1345" s="89" t="s">
        <v>3135</v>
      </c>
      <c r="K1345" s="89" t="str">
        <f>"00048791"</f>
        <v>00048791</v>
      </c>
    </row>
    <row r="1346" spans="1:11" ht="57" x14ac:dyDescent="0.25">
      <c r="A1346" s="88">
        <v>108</v>
      </c>
      <c r="B1346" s="89" t="s">
        <v>4479</v>
      </c>
      <c r="C1346" s="88" t="s">
        <v>0</v>
      </c>
      <c r="D1346" s="89"/>
      <c r="E1346" s="46">
        <v>50000</v>
      </c>
      <c r="F1346" s="88">
        <v>4</v>
      </c>
      <c r="G1346" s="89" t="s">
        <v>4500</v>
      </c>
      <c r="H1346" s="89" t="s">
        <v>4481</v>
      </c>
      <c r="I1346" s="89" t="s">
        <v>32</v>
      </c>
      <c r="J1346" s="89" t="s">
        <v>3135</v>
      </c>
      <c r="K1346" s="89" t="str">
        <f>"00048782"</f>
        <v>00048782</v>
      </c>
    </row>
    <row r="1347" spans="1:11" ht="42.75" x14ac:dyDescent="0.25">
      <c r="A1347" s="88">
        <v>108</v>
      </c>
      <c r="B1347" s="89" t="s">
        <v>4387</v>
      </c>
      <c r="C1347" s="88" t="s">
        <v>0</v>
      </c>
      <c r="D1347" s="89"/>
      <c r="E1347" s="46">
        <v>72643</v>
      </c>
      <c r="F1347" s="88">
        <v>4</v>
      </c>
      <c r="G1347" s="89" t="s">
        <v>4501</v>
      </c>
      <c r="H1347" s="89" t="s">
        <v>4459</v>
      </c>
      <c r="I1347" s="89" t="s">
        <v>32</v>
      </c>
      <c r="J1347" s="89" t="s">
        <v>4502</v>
      </c>
      <c r="K1347" s="89" t="str">
        <f>"00049936"</f>
        <v>00049936</v>
      </c>
    </row>
    <row r="1348" spans="1:11" ht="99.75" x14ac:dyDescent="0.25">
      <c r="A1348" s="88">
        <v>108</v>
      </c>
      <c r="B1348" s="89" t="s">
        <v>4498</v>
      </c>
      <c r="C1348" s="88" t="s">
        <v>0</v>
      </c>
      <c r="D1348" s="89"/>
      <c r="E1348" s="46">
        <v>140918</v>
      </c>
      <c r="F1348" s="88">
        <v>4</v>
      </c>
      <c r="G1348" s="89" t="s">
        <v>4499</v>
      </c>
      <c r="H1348" s="89" t="s">
        <v>4081</v>
      </c>
      <c r="I1348" s="89" t="s">
        <v>4082</v>
      </c>
      <c r="J1348" s="89" t="s">
        <v>4083</v>
      </c>
      <c r="K1348" s="89" t="str">
        <f>"00048710"</f>
        <v>00048710</v>
      </c>
    </row>
    <row r="1349" spans="1:11" ht="42.75" x14ac:dyDescent="0.25">
      <c r="A1349" s="88">
        <v>108</v>
      </c>
      <c r="B1349" s="89" t="s">
        <v>4387</v>
      </c>
      <c r="C1349" s="88" t="s">
        <v>0</v>
      </c>
      <c r="D1349" s="89"/>
      <c r="E1349" s="46">
        <v>60000</v>
      </c>
      <c r="F1349" s="88">
        <v>4</v>
      </c>
      <c r="G1349" s="89" t="s">
        <v>4586</v>
      </c>
      <c r="H1349" s="89" t="s">
        <v>4587</v>
      </c>
      <c r="I1349" s="89" t="s">
        <v>209</v>
      </c>
      <c r="J1349" s="89" t="s">
        <v>1890</v>
      </c>
      <c r="K1349" s="89" t="str">
        <f>"00051193"</f>
        <v>00051193</v>
      </c>
    </row>
    <row r="1350" spans="1:11" ht="57" x14ac:dyDescent="0.25">
      <c r="A1350" s="88">
        <v>108</v>
      </c>
      <c r="B1350" s="89" t="s">
        <v>4390</v>
      </c>
      <c r="C1350" s="88" t="s">
        <v>0</v>
      </c>
      <c r="D1350" s="89"/>
      <c r="E1350" s="46">
        <v>55158</v>
      </c>
      <c r="F1350" s="88">
        <v>4</v>
      </c>
      <c r="G1350" s="89" t="s">
        <v>4584</v>
      </c>
      <c r="H1350" s="89" t="s">
        <v>4585</v>
      </c>
      <c r="I1350" s="89" t="s">
        <v>209</v>
      </c>
      <c r="J1350" s="89" t="s">
        <v>1890</v>
      </c>
      <c r="K1350" s="89" t="str">
        <f>"00051045"</f>
        <v>00051045</v>
      </c>
    </row>
    <row r="1351" spans="1:11" ht="57" x14ac:dyDescent="0.25">
      <c r="A1351" s="88">
        <v>108</v>
      </c>
      <c r="B1351" s="89" t="s">
        <v>4390</v>
      </c>
      <c r="C1351" s="88" t="s">
        <v>0</v>
      </c>
      <c r="D1351" s="89"/>
      <c r="E1351" s="46">
        <v>23709</v>
      </c>
      <c r="F1351" s="88">
        <v>4</v>
      </c>
      <c r="G1351" s="89" t="s">
        <v>4391</v>
      </c>
      <c r="H1351" s="89" t="s">
        <v>4392</v>
      </c>
      <c r="I1351" s="89" t="s">
        <v>32</v>
      </c>
      <c r="J1351" s="89" t="s">
        <v>33</v>
      </c>
      <c r="K1351" s="89" t="str">
        <f>"00052645"</f>
        <v>00052645</v>
      </c>
    </row>
    <row r="1352" spans="1:11" ht="71.25" x14ac:dyDescent="0.25">
      <c r="A1352" s="88">
        <v>108</v>
      </c>
      <c r="B1352" s="89" t="s">
        <v>4387</v>
      </c>
      <c r="C1352" s="88" t="s">
        <v>0</v>
      </c>
      <c r="D1352" s="89"/>
      <c r="E1352" s="46">
        <v>60000</v>
      </c>
      <c r="F1352" s="88">
        <v>4</v>
      </c>
      <c r="G1352" s="89" t="s">
        <v>4388</v>
      </c>
      <c r="H1352" s="89" t="s">
        <v>4389</v>
      </c>
      <c r="I1352" s="89" t="s">
        <v>209</v>
      </c>
      <c r="J1352" s="89" t="s">
        <v>1890</v>
      </c>
      <c r="K1352" s="89" t="str">
        <f>"00051331"</f>
        <v>00051331</v>
      </c>
    </row>
    <row r="1353" spans="1:11" ht="42.75" x14ac:dyDescent="0.25">
      <c r="A1353" s="88">
        <v>108</v>
      </c>
      <c r="B1353" s="89" t="s">
        <v>4396</v>
      </c>
      <c r="C1353" s="88" t="s">
        <v>0</v>
      </c>
      <c r="D1353" s="89"/>
      <c r="E1353" s="46">
        <v>63661</v>
      </c>
      <c r="F1353" s="88">
        <v>4</v>
      </c>
      <c r="G1353" s="89" t="s">
        <v>4397</v>
      </c>
      <c r="H1353" s="89" t="s">
        <v>3192</v>
      </c>
      <c r="I1353" s="89" t="s">
        <v>161</v>
      </c>
      <c r="J1353" s="89" t="s">
        <v>3177</v>
      </c>
      <c r="K1353" s="89" t="str">
        <f>"00052174"</f>
        <v>00052174</v>
      </c>
    </row>
    <row r="1354" spans="1:11" ht="42.75" x14ac:dyDescent="0.25">
      <c r="A1354" s="88">
        <v>108</v>
      </c>
      <c r="B1354" s="89" t="s">
        <v>4396</v>
      </c>
      <c r="C1354" s="88" t="s">
        <v>0</v>
      </c>
      <c r="D1354" s="89"/>
      <c r="E1354" s="46">
        <v>61779</v>
      </c>
      <c r="F1354" s="88">
        <v>4</v>
      </c>
      <c r="G1354" s="89" t="s">
        <v>4398</v>
      </c>
      <c r="H1354" s="89" t="s">
        <v>4399</v>
      </c>
      <c r="I1354" s="89" t="s">
        <v>161</v>
      </c>
      <c r="J1354" s="89" t="s">
        <v>3177</v>
      </c>
      <c r="K1354" s="89" t="str">
        <f>"00052192"</f>
        <v>00052192</v>
      </c>
    </row>
    <row r="1355" spans="1:11" ht="42.75" x14ac:dyDescent="0.25">
      <c r="A1355" s="88">
        <v>108</v>
      </c>
      <c r="B1355" s="89" t="s">
        <v>5763</v>
      </c>
      <c r="C1355" s="88" t="s">
        <v>0</v>
      </c>
      <c r="D1355" s="89"/>
      <c r="E1355" s="46">
        <v>115964</v>
      </c>
      <c r="F1355" s="88">
        <v>4</v>
      </c>
      <c r="G1355" s="89" t="s">
        <v>5764</v>
      </c>
      <c r="H1355" s="89" t="s">
        <v>5755</v>
      </c>
      <c r="I1355" s="89" t="s">
        <v>32</v>
      </c>
      <c r="J1355" s="89" t="s">
        <v>5765</v>
      </c>
      <c r="K1355" s="89" t="str">
        <f>"00053067"</f>
        <v>00053067</v>
      </c>
    </row>
    <row r="1356" spans="1:11" ht="28.5" x14ac:dyDescent="0.25">
      <c r="A1356" s="83">
        <v>108</v>
      </c>
      <c r="B1356" s="84" t="s">
        <v>12</v>
      </c>
      <c r="C1356" s="83" t="s">
        <v>0</v>
      </c>
      <c r="D1356" s="29">
        <v>43000</v>
      </c>
      <c r="E1356" s="103"/>
      <c r="F1356" s="83">
        <v>4</v>
      </c>
      <c r="G1356" s="84" t="s">
        <v>828</v>
      </c>
      <c r="H1356" s="84"/>
      <c r="I1356" s="84" t="s">
        <v>14</v>
      </c>
      <c r="J1356" s="84"/>
      <c r="K1356" s="84" t="str">
        <f>"　"</f>
        <v>　</v>
      </c>
    </row>
    <row r="1357" spans="1:11" ht="57" x14ac:dyDescent="0.25">
      <c r="A1357" s="83">
        <v>108</v>
      </c>
      <c r="B1357" s="84" t="s">
        <v>12</v>
      </c>
      <c r="C1357" s="83" t="s">
        <v>0</v>
      </c>
      <c r="D1357" s="84"/>
      <c r="E1357" s="85">
        <v>35330</v>
      </c>
      <c r="F1357" s="83">
        <v>4</v>
      </c>
      <c r="G1357" s="84" t="s">
        <v>3252</v>
      </c>
      <c r="H1357" s="84" t="s">
        <v>3253</v>
      </c>
      <c r="I1357" s="84" t="s">
        <v>32</v>
      </c>
      <c r="J1357" s="84" t="s">
        <v>118</v>
      </c>
      <c r="K1357" s="84" t="str">
        <f>"00050188"</f>
        <v>00050188</v>
      </c>
    </row>
    <row r="1358" spans="1:11" ht="28.5" x14ac:dyDescent="0.25">
      <c r="A1358" s="83">
        <v>108</v>
      </c>
      <c r="B1358" s="84" t="s">
        <v>12</v>
      </c>
      <c r="C1358" s="83" t="s">
        <v>0</v>
      </c>
      <c r="D1358" s="29">
        <v>15000</v>
      </c>
      <c r="E1358" s="30"/>
      <c r="F1358" s="83">
        <v>4</v>
      </c>
      <c r="G1358" s="84" t="s">
        <v>828</v>
      </c>
      <c r="H1358" s="84"/>
      <c r="I1358" s="84" t="s">
        <v>14</v>
      </c>
      <c r="J1358" s="84"/>
      <c r="K1358" s="84" t="str">
        <f>"　"</f>
        <v>　</v>
      </c>
    </row>
    <row r="1359" spans="1:11" ht="28.5" x14ac:dyDescent="0.25">
      <c r="A1359" s="83">
        <v>108</v>
      </c>
      <c r="B1359" s="84" t="s">
        <v>12</v>
      </c>
      <c r="C1359" s="83" t="s">
        <v>0</v>
      </c>
      <c r="D1359" s="29">
        <v>15000</v>
      </c>
      <c r="E1359" s="30"/>
      <c r="F1359" s="83">
        <v>4</v>
      </c>
      <c r="G1359" s="84" t="s">
        <v>828</v>
      </c>
      <c r="H1359" s="84"/>
      <c r="I1359" s="84" t="s">
        <v>14</v>
      </c>
      <c r="J1359" s="84"/>
      <c r="K1359" s="84" t="str">
        <f>"　"</f>
        <v>　</v>
      </c>
    </row>
    <row r="1360" spans="1:11" ht="42.75" x14ac:dyDescent="0.25">
      <c r="A1360" s="83">
        <v>108</v>
      </c>
      <c r="B1360" s="84" t="s">
        <v>12</v>
      </c>
      <c r="C1360" s="83" t="s">
        <v>0</v>
      </c>
      <c r="D1360" s="84"/>
      <c r="E1360" s="85">
        <v>15000</v>
      </c>
      <c r="F1360" s="83">
        <v>4</v>
      </c>
      <c r="G1360" s="84" t="s">
        <v>834</v>
      </c>
      <c r="H1360" s="84" t="s">
        <v>674</v>
      </c>
      <c r="I1360" s="84" t="s">
        <v>66</v>
      </c>
      <c r="J1360" s="84" t="s">
        <v>302</v>
      </c>
      <c r="K1360" s="84" t="str">
        <f>"00047237"</f>
        <v>00047237</v>
      </c>
    </row>
    <row r="1361" spans="1:11" ht="28.5" x14ac:dyDescent="0.25">
      <c r="A1361" s="83">
        <v>108</v>
      </c>
      <c r="B1361" s="84" t="s">
        <v>12</v>
      </c>
      <c r="C1361" s="83" t="s">
        <v>0</v>
      </c>
      <c r="D1361" s="29">
        <v>17000</v>
      </c>
      <c r="E1361" s="30"/>
      <c r="F1361" s="83">
        <v>4</v>
      </c>
      <c r="G1361" s="84" t="s">
        <v>828</v>
      </c>
      <c r="H1361" s="84"/>
      <c r="I1361" s="84" t="s">
        <v>14</v>
      </c>
      <c r="J1361" s="84"/>
      <c r="K1361" s="84" t="str">
        <f>"　"</f>
        <v>　</v>
      </c>
    </row>
    <row r="1362" spans="1:11" ht="42.75" x14ac:dyDescent="0.25">
      <c r="A1362" s="83">
        <v>108</v>
      </c>
      <c r="B1362" s="84" t="s">
        <v>12</v>
      </c>
      <c r="C1362" s="83" t="s">
        <v>0</v>
      </c>
      <c r="D1362" s="84"/>
      <c r="E1362" s="85">
        <v>16395</v>
      </c>
      <c r="F1362" s="83">
        <v>4</v>
      </c>
      <c r="G1362" s="84" t="s">
        <v>832</v>
      </c>
      <c r="H1362" s="84" t="s">
        <v>365</v>
      </c>
      <c r="I1362" s="84" t="s">
        <v>66</v>
      </c>
      <c r="J1362" s="84" t="s">
        <v>148</v>
      </c>
      <c r="K1362" s="84" t="str">
        <f>"00047448"</f>
        <v>00047448</v>
      </c>
    </row>
    <row r="1363" spans="1:11" ht="28.5" x14ac:dyDescent="0.25">
      <c r="A1363" s="83">
        <v>108</v>
      </c>
      <c r="B1363" s="84" t="s">
        <v>12</v>
      </c>
      <c r="C1363" s="83" t="s">
        <v>0</v>
      </c>
      <c r="D1363" s="29">
        <v>35000</v>
      </c>
      <c r="E1363" s="30"/>
      <c r="F1363" s="83">
        <v>4</v>
      </c>
      <c r="G1363" s="84" t="s">
        <v>828</v>
      </c>
      <c r="H1363" s="84"/>
      <c r="I1363" s="84" t="s">
        <v>14</v>
      </c>
      <c r="J1363" s="84"/>
      <c r="K1363" s="84" t="str">
        <f>"　"</f>
        <v>　</v>
      </c>
    </row>
    <row r="1364" spans="1:11" ht="85.5" x14ac:dyDescent="0.25">
      <c r="A1364" s="83">
        <v>108</v>
      </c>
      <c r="B1364" s="84" t="s">
        <v>12</v>
      </c>
      <c r="C1364" s="83" t="s">
        <v>0</v>
      </c>
      <c r="D1364" s="84"/>
      <c r="E1364" s="85">
        <v>35000</v>
      </c>
      <c r="F1364" s="83">
        <v>4</v>
      </c>
      <c r="G1364" s="84" t="s">
        <v>3255</v>
      </c>
      <c r="H1364" s="84" t="s">
        <v>659</v>
      </c>
      <c r="I1364" s="84" t="s">
        <v>66</v>
      </c>
      <c r="J1364" s="84" t="s">
        <v>302</v>
      </c>
      <c r="K1364" s="84" t="str">
        <f>"00047050"</f>
        <v>00047050</v>
      </c>
    </row>
    <row r="1365" spans="1:11" ht="28.5" x14ac:dyDescent="0.25">
      <c r="A1365" s="83">
        <v>108</v>
      </c>
      <c r="B1365" s="84" t="s">
        <v>12</v>
      </c>
      <c r="C1365" s="83" t="s">
        <v>0</v>
      </c>
      <c r="D1365" s="29">
        <v>15000</v>
      </c>
      <c r="E1365" s="30"/>
      <c r="F1365" s="83">
        <v>4</v>
      </c>
      <c r="G1365" s="84" t="s">
        <v>828</v>
      </c>
      <c r="H1365" s="84"/>
      <c r="I1365" s="84" t="s">
        <v>14</v>
      </c>
      <c r="J1365" s="84"/>
      <c r="K1365" s="84" t="str">
        <f>"　"</f>
        <v>　</v>
      </c>
    </row>
    <row r="1366" spans="1:11" ht="142.5" x14ac:dyDescent="0.25">
      <c r="A1366" s="83">
        <v>108</v>
      </c>
      <c r="B1366" s="84" t="s">
        <v>12</v>
      </c>
      <c r="C1366" s="83" t="s">
        <v>0</v>
      </c>
      <c r="D1366" s="84"/>
      <c r="E1366" s="85">
        <v>15000</v>
      </c>
      <c r="F1366" s="83">
        <v>4</v>
      </c>
      <c r="G1366" s="84" t="s">
        <v>2933</v>
      </c>
      <c r="H1366" s="84" t="s">
        <v>2934</v>
      </c>
      <c r="I1366" s="84" t="s">
        <v>32</v>
      </c>
      <c r="J1366" s="84" t="s">
        <v>118</v>
      </c>
      <c r="K1366" s="84" t="str">
        <f>"00049796"</f>
        <v>00049796</v>
      </c>
    </row>
    <row r="1367" spans="1:11" ht="71.25" x14ac:dyDescent="0.25">
      <c r="A1367" s="83">
        <v>108</v>
      </c>
      <c r="B1367" s="84" t="s">
        <v>4417</v>
      </c>
      <c r="C1367" s="83" t="s">
        <v>0</v>
      </c>
      <c r="D1367" s="84"/>
      <c r="E1367" s="85">
        <v>1778</v>
      </c>
      <c r="F1367" s="83">
        <v>4</v>
      </c>
      <c r="G1367" s="84" t="s">
        <v>4418</v>
      </c>
      <c r="H1367" s="84" t="s">
        <v>4419</v>
      </c>
      <c r="I1367" s="84" t="s">
        <v>746</v>
      </c>
      <c r="J1367" s="84" t="s">
        <v>747</v>
      </c>
      <c r="K1367" s="84" t="str">
        <f>"00050162"</f>
        <v>00050162</v>
      </c>
    </row>
    <row r="1368" spans="1:11" x14ac:dyDescent="0.25">
      <c r="A1368" s="139" t="s">
        <v>5767</v>
      </c>
      <c r="B1368" s="140"/>
      <c r="C1368" s="140"/>
      <c r="D1368" s="140"/>
      <c r="E1368" s="110">
        <f>SUM(E3:E1367)</f>
        <v>81149630</v>
      </c>
      <c r="F1368" s="83"/>
      <c r="G1368" s="84"/>
      <c r="H1368" s="84"/>
      <c r="I1368" s="84"/>
      <c r="J1368" s="84"/>
      <c r="K1368" s="84"/>
    </row>
    <row r="1369" spans="1:11" x14ac:dyDescent="0.25">
      <c r="A1369" s="138" t="s">
        <v>852</v>
      </c>
      <c r="B1369" s="138"/>
      <c r="C1369" s="111"/>
      <c r="D1369" s="112"/>
      <c r="E1369" s="113"/>
      <c r="F1369" s="111"/>
      <c r="G1369" s="11"/>
      <c r="H1369" s="114"/>
      <c r="I1369" s="114"/>
      <c r="J1369" s="114"/>
      <c r="K1369" s="114"/>
    </row>
    <row r="1370" spans="1:11" ht="28.5" x14ac:dyDescent="0.25">
      <c r="A1370" s="88">
        <v>108</v>
      </c>
      <c r="B1370" s="89" t="s">
        <v>26</v>
      </c>
      <c r="C1370" s="88" t="s">
        <v>0</v>
      </c>
      <c r="D1370" s="95">
        <v>387000</v>
      </c>
      <c r="E1370" s="90"/>
      <c r="F1370" s="88">
        <v>3</v>
      </c>
      <c r="G1370" s="89" t="s">
        <v>27</v>
      </c>
      <c r="H1370" s="89"/>
      <c r="I1370" s="89" t="s">
        <v>14</v>
      </c>
      <c r="J1370" s="89"/>
      <c r="K1370" s="89" t="str">
        <f>"　"</f>
        <v>　</v>
      </c>
    </row>
    <row r="1371" spans="1:11" ht="114" x14ac:dyDescent="0.25">
      <c r="A1371" s="88">
        <v>108</v>
      </c>
      <c r="B1371" s="89" t="s">
        <v>26</v>
      </c>
      <c r="C1371" s="88" t="s">
        <v>0</v>
      </c>
      <c r="D1371" s="95"/>
      <c r="E1371" s="90">
        <v>95000</v>
      </c>
      <c r="F1371" s="88">
        <v>3</v>
      </c>
      <c r="G1371" s="89" t="s">
        <v>4769</v>
      </c>
      <c r="H1371" s="89" t="s">
        <v>46</v>
      </c>
      <c r="I1371" s="89" t="s">
        <v>32</v>
      </c>
      <c r="J1371" s="89" t="s">
        <v>84</v>
      </c>
      <c r="K1371" s="89" t="str">
        <f>"00047868"</f>
        <v>00047868</v>
      </c>
    </row>
    <row r="1372" spans="1:11" ht="156.75" x14ac:dyDescent="0.25">
      <c r="A1372" s="88">
        <v>108</v>
      </c>
      <c r="B1372" s="89" t="s">
        <v>26</v>
      </c>
      <c r="C1372" s="88" t="s">
        <v>0</v>
      </c>
      <c r="D1372" s="95"/>
      <c r="E1372" s="90">
        <v>44560</v>
      </c>
      <c r="F1372" s="88">
        <v>3</v>
      </c>
      <c r="G1372" s="89" t="s">
        <v>4770</v>
      </c>
      <c r="H1372" s="89" t="s">
        <v>4771</v>
      </c>
      <c r="I1372" s="89" t="s">
        <v>66</v>
      </c>
      <c r="J1372" s="89" t="s">
        <v>717</v>
      </c>
      <c r="K1372" s="89" t="str">
        <f>"00053633"</f>
        <v>00053633</v>
      </c>
    </row>
    <row r="1373" spans="1:11" ht="156.75" x14ac:dyDescent="0.25">
      <c r="A1373" s="88">
        <v>108</v>
      </c>
      <c r="B1373" s="89" t="s">
        <v>26</v>
      </c>
      <c r="C1373" s="88" t="s">
        <v>0</v>
      </c>
      <c r="D1373" s="95"/>
      <c r="E1373" s="90">
        <v>62049</v>
      </c>
      <c r="F1373" s="88">
        <v>3</v>
      </c>
      <c r="G1373" s="89" t="s">
        <v>4772</v>
      </c>
      <c r="H1373" s="89" t="s">
        <v>4771</v>
      </c>
      <c r="I1373" s="89" t="s">
        <v>66</v>
      </c>
      <c r="J1373" s="89" t="s">
        <v>717</v>
      </c>
      <c r="K1373" s="89" t="str">
        <f>"00053138"</f>
        <v>00053138</v>
      </c>
    </row>
    <row r="1374" spans="1:11" ht="85.5" x14ac:dyDescent="0.25">
      <c r="A1374" s="88">
        <v>108</v>
      </c>
      <c r="B1374" s="89" t="s">
        <v>26</v>
      </c>
      <c r="C1374" s="88" t="s">
        <v>0</v>
      </c>
      <c r="D1374" s="95"/>
      <c r="E1374" s="90">
        <v>60671</v>
      </c>
      <c r="F1374" s="88">
        <v>3</v>
      </c>
      <c r="G1374" s="89" t="s">
        <v>4773</v>
      </c>
      <c r="H1374" s="89" t="s">
        <v>4771</v>
      </c>
      <c r="I1374" s="89" t="s">
        <v>66</v>
      </c>
      <c r="J1374" s="89" t="s">
        <v>125</v>
      </c>
      <c r="K1374" s="89" t="str">
        <f>"00053117"</f>
        <v>00053117</v>
      </c>
    </row>
    <row r="1375" spans="1:11" ht="28.5" x14ac:dyDescent="0.25">
      <c r="A1375" s="47">
        <v>108</v>
      </c>
      <c r="B1375" s="48" t="s">
        <v>12</v>
      </c>
      <c r="C1375" s="47" t="s">
        <v>0</v>
      </c>
      <c r="D1375" s="49">
        <v>315000</v>
      </c>
      <c r="E1375" s="50"/>
      <c r="F1375" s="47">
        <v>3</v>
      </c>
      <c r="G1375" s="48" t="s">
        <v>835</v>
      </c>
      <c r="H1375" s="48"/>
      <c r="I1375" s="48" t="s">
        <v>14</v>
      </c>
      <c r="J1375" s="48"/>
      <c r="K1375" s="48" t="str">
        <f>"　"</f>
        <v>　</v>
      </c>
    </row>
    <row r="1376" spans="1:11" ht="42.75" x14ac:dyDescent="0.25">
      <c r="A1376" s="47">
        <v>108</v>
      </c>
      <c r="B1376" s="48" t="s">
        <v>12</v>
      </c>
      <c r="C1376" s="47" t="s">
        <v>0</v>
      </c>
      <c r="D1376" s="48"/>
      <c r="E1376" s="27">
        <v>166636</v>
      </c>
      <c r="F1376" s="47">
        <v>3</v>
      </c>
      <c r="G1376" s="48" t="s">
        <v>3315</v>
      </c>
      <c r="H1376" s="48" t="s">
        <v>3316</v>
      </c>
      <c r="I1376" s="48" t="s">
        <v>849</v>
      </c>
      <c r="J1376" s="48" t="s">
        <v>976</v>
      </c>
      <c r="K1376" s="48" t="str">
        <f>"00051867"</f>
        <v>00051867</v>
      </c>
    </row>
    <row r="1377" spans="1:11" ht="57" x14ac:dyDescent="0.25">
      <c r="A1377" s="47">
        <v>108</v>
      </c>
      <c r="B1377" s="48" t="s">
        <v>12</v>
      </c>
      <c r="C1377" s="47" t="s">
        <v>0</v>
      </c>
      <c r="D1377" s="48"/>
      <c r="E1377" s="27">
        <v>205824</v>
      </c>
      <c r="F1377" s="47">
        <v>3</v>
      </c>
      <c r="G1377" s="48" t="s">
        <v>3317</v>
      </c>
      <c r="H1377" s="48" t="s">
        <v>3318</v>
      </c>
      <c r="I1377" s="48" t="s">
        <v>32</v>
      </c>
      <c r="J1377" s="48" t="s">
        <v>2313</v>
      </c>
      <c r="K1377" s="48" t="str">
        <f>"00052333"</f>
        <v>00052333</v>
      </c>
    </row>
    <row r="1378" spans="1:11" ht="99.75" x14ac:dyDescent="0.25">
      <c r="A1378" s="47">
        <v>108</v>
      </c>
      <c r="B1378" s="48" t="s">
        <v>4176</v>
      </c>
      <c r="C1378" s="47" t="s">
        <v>0</v>
      </c>
      <c r="D1378" s="48"/>
      <c r="E1378" s="27">
        <v>59516</v>
      </c>
      <c r="F1378" s="47">
        <v>3</v>
      </c>
      <c r="G1378" s="48" t="s">
        <v>4177</v>
      </c>
      <c r="H1378" s="48" t="s">
        <v>3222</v>
      </c>
      <c r="I1378" s="48" t="s">
        <v>185</v>
      </c>
      <c r="J1378" s="48" t="s">
        <v>4178</v>
      </c>
      <c r="K1378" s="48" t="str">
        <f>"00051277"</f>
        <v>00051277</v>
      </c>
    </row>
    <row r="1379" spans="1:11" ht="57" x14ac:dyDescent="0.25">
      <c r="A1379" s="47">
        <v>108</v>
      </c>
      <c r="B1379" s="48" t="s">
        <v>4167</v>
      </c>
      <c r="C1379" s="47" t="s">
        <v>0</v>
      </c>
      <c r="D1379" s="48"/>
      <c r="E1379" s="27">
        <v>9479</v>
      </c>
      <c r="F1379" s="47">
        <v>3</v>
      </c>
      <c r="G1379" s="48" t="s">
        <v>4168</v>
      </c>
      <c r="H1379" s="48" t="s">
        <v>4169</v>
      </c>
      <c r="I1379" s="48" t="s">
        <v>32</v>
      </c>
      <c r="J1379" s="48" t="s">
        <v>4170</v>
      </c>
      <c r="K1379" s="48" t="str">
        <f>"00050683"</f>
        <v>00050683</v>
      </c>
    </row>
    <row r="1380" spans="1:11" ht="42.75" x14ac:dyDescent="0.25">
      <c r="A1380" s="47">
        <v>108</v>
      </c>
      <c r="B1380" s="48" t="s">
        <v>4176</v>
      </c>
      <c r="C1380" s="47" t="s">
        <v>0</v>
      </c>
      <c r="D1380" s="48"/>
      <c r="E1380" s="27">
        <v>52000</v>
      </c>
      <c r="F1380" s="47">
        <v>3</v>
      </c>
      <c r="G1380" s="48" t="s">
        <v>5657</v>
      </c>
      <c r="H1380" s="48" t="s">
        <v>5658</v>
      </c>
      <c r="I1380" s="48" t="s">
        <v>66</v>
      </c>
      <c r="J1380" s="48" t="s">
        <v>1369</v>
      </c>
      <c r="K1380" s="48" t="str">
        <f>"00052823"</f>
        <v>00052823</v>
      </c>
    </row>
    <row r="1381" spans="1:11" ht="42.75" x14ac:dyDescent="0.25">
      <c r="A1381" s="47">
        <v>108</v>
      </c>
      <c r="B1381" s="48" t="s">
        <v>4229</v>
      </c>
      <c r="C1381" s="47" t="s">
        <v>0</v>
      </c>
      <c r="D1381" s="48"/>
      <c r="E1381" s="27">
        <v>7081</v>
      </c>
      <c r="F1381" s="47">
        <v>3</v>
      </c>
      <c r="G1381" s="48" t="s">
        <v>4230</v>
      </c>
      <c r="H1381" s="48" t="s">
        <v>4231</v>
      </c>
      <c r="I1381" s="48" t="s">
        <v>94</v>
      </c>
      <c r="J1381" s="48" t="s">
        <v>355</v>
      </c>
      <c r="K1381" s="48" t="str">
        <f>"00052747"</f>
        <v>00052747</v>
      </c>
    </row>
    <row r="1382" spans="1:11" ht="71.25" x14ac:dyDescent="0.25">
      <c r="A1382" s="47">
        <v>108</v>
      </c>
      <c r="B1382" s="48" t="s">
        <v>4181</v>
      </c>
      <c r="C1382" s="47" t="s">
        <v>0</v>
      </c>
      <c r="D1382" s="48"/>
      <c r="E1382" s="27">
        <v>205601</v>
      </c>
      <c r="F1382" s="47">
        <v>3</v>
      </c>
      <c r="G1382" s="48" t="s">
        <v>4182</v>
      </c>
      <c r="H1382" s="48" t="s">
        <v>4183</v>
      </c>
      <c r="I1382" s="48" t="s">
        <v>185</v>
      </c>
      <c r="J1382" s="48" t="s">
        <v>270</v>
      </c>
      <c r="K1382" s="48" t="str">
        <f>"00049030"</f>
        <v>00049030</v>
      </c>
    </row>
    <row r="1383" spans="1:11" ht="57" x14ac:dyDescent="0.25">
      <c r="A1383" s="47">
        <v>108</v>
      </c>
      <c r="B1383" s="48" t="s">
        <v>4247</v>
      </c>
      <c r="C1383" s="47" t="s">
        <v>0</v>
      </c>
      <c r="D1383" s="48"/>
      <c r="E1383" s="27">
        <v>125853</v>
      </c>
      <c r="F1383" s="47">
        <v>3</v>
      </c>
      <c r="G1383" s="48" t="s">
        <v>4248</v>
      </c>
      <c r="H1383" s="48" t="s">
        <v>4249</v>
      </c>
      <c r="I1383" s="48" t="s">
        <v>32</v>
      </c>
      <c r="J1383" s="48" t="s">
        <v>4250</v>
      </c>
      <c r="K1383" s="48" t="str">
        <f>"00049783"</f>
        <v>00049783</v>
      </c>
    </row>
    <row r="1384" spans="1:11" ht="42.75" x14ac:dyDescent="0.25">
      <c r="A1384" s="47">
        <v>108</v>
      </c>
      <c r="B1384" s="48" t="s">
        <v>4240</v>
      </c>
      <c r="C1384" s="47" t="s">
        <v>0</v>
      </c>
      <c r="D1384" s="48"/>
      <c r="E1384" s="27">
        <v>9763</v>
      </c>
      <c r="F1384" s="47">
        <v>3</v>
      </c>
      <c r="G1384" s="48" t="s">
        <v>4241</v>
      </c>
      <c r="H1384" s="48" t="s">
        <v>4242</v>
      </c>
      <c r="I1384" s="48" t="s">
        <v>185</v>
      </c>
      <c r="J1384" s="48" t="s">
        <v>4243</v>
      </c>
      <c r="K1384" s="48" t="str">
        <f>"00052495"</f>
        <v>00052495</v>
      </c>
    </row>
    <row r="1385" spans="1:11" ht="99.75" x14ac:dyDescent="0.25">
      <c r="A1385" s="47">
        <v>108</v>
      </c>
      <c r="B1385" s="48" t="s">
        <v>4234</v>
      </c>
      <c r="C1385" s="47" t="s">
        <v>0</v>
      </c>
      <c r="D1385" s="48"/>
      <c r="E1385" s="27">
        <v>90796</v>
      </c>
      <c r="F1385" s="47">
        <v>3</v>
      </c>
      <c r="G1385" s="48" t="s">
        <v>4235</v>
      </c>
      <c r="H1385" s="48" t="s">
        <v>4236</v>
      </c>
      <c r="I1385" s="48" t="s">
        <v>849</v>
      </c>
      <c r="J1385" s="48" t="s">
        <v>3436</v>
      </c>
      <c r="K1385" s="48" t="str">
        <f>"00048465"</f>
        <v>00048465</v>
      </c>
    </row>
    <row r="1386" spans="1:11" ht="42.75" x14ac:dyDescent="0.25">
      <c r="A1386" s="47">
        <v>108</v>
      </c>
      <c r="B1386" s="48" t="s">
        <v>4208</v>
      </c>
      <c r="C1386" s="47" t="s">
        <v>0</v>
      </c>
      <c r="D1386" s="48"/>
      <c r="E1386" s="27">
        <v>50611</v>
      </c>
      <c r="F1386" s="47">
        <v>3</v>
      </c>
      <c r="G1386" s="48" t="s">
        <v>4209</v>
      </c>
      <c r="H1386" s="48" t="s">
        <v>218</v>
      </c>
      <c r="I1386" s="48" t="s">
        <v>66</v>
      </c>
      <c r="J1386" s="48" t="s">
        <v>954</v>
      </c>
      <c r="K1386" s="48" t="str">
        <f>"00048300"</f>
        <v>00048300</v>
      </c>
    </row>
    <row r="1387" spans="1:11" ht="28.5" x14ac:dyDescent="0.25">
      <c r="A1387" s="88">
        <v>108</v>
      </c>
      <c r="B1387" s="89" t="s">
        <v>26</v>
      </c>
      <c r="C1387" s="88" t="s">
        <v>0</v>
      </c>
      <c r="D1387" s="94">
        <v>400000</v>
      </c>
      <c r="E1387" s="90"/>
      <c r="F1387" s="88">
        <v>3</v>
      </c>
      <c r="G1387" s="89" t="s">
        <v>28</v>
      </c>
      <c r="H1387" s="89"/>
      <c r="I1387" s="89" t="s">
        <v>14</v>
      </c>
      <c r="J1387" s="89"/>
      <c r="K1387" s="89" t="str">
        <f>"　"</f>
        <v>　</v>
      </c>
    </row>
    <row r="1388" spans="1:11" ht="85.5" x14ac:dyDescent="0.25">
      <c r="A1388" s="88">
        <v>108</v>
      </c>
      <c r="B1388" s="89" t="s">
        <v>26</v>
      </c>
      <c r="C1388" s="88" t="s">
        <v>0</v>
      </c>
      <c r="D1388" s="89"/>
      <c r="E1388" s="90">
        <v>28726</v>
      </c>
      <c r="F1388" s="88">
        <v>3</v>
      </c>
      <c r="G1388" s="89" t="s">
        <v>859</v>
      </c>
      <c r="H1388" s="89" t="s">
        <v>860</v>
      </c>
      <c r="I1388" s="89" t="s">
        <v>861</v>
      </c>
      <c r="J1388" s="89" t="s">
        <v>862</v>
      </c>
      <c r="K1388" s="89" t="str">
        <f>"00047278"</f>
        <v>00047278</v>
      </c>
    </row>
    <row r="1389" spans="1:11" ht="156.75" x14ac:dyDescent="0.25">
      <c r="A1389" s="88">
        <v>108</v>
      </c>
      <c r="B1389" s="89" t="s">
        <v>26</v>
      </c>
      <c r="C1389" s="88" t="s">
        <v>0</v>
      </c>
      <c r="D1389" s="89"/>
      <c r="E1389" s="90">
        <v>20012</v>
      </c>
      <c r="F1389" s="88">
        <v>3</v>
      </c>
      <c r="G1389" s="89" t="s">
        <v>5362</v>
      </c>
      <c r="H1389" s="89" t="s">
        <v>1944</v>
      </c>
      <c r="I1389" s="89" t="s">
        <v>2140</v>
      </c>
      <c r="J1389" s="89" t="s">
        <v>3319</v>
      </c>
      <c r="K1389" s="89" t="s">
        <v>5922</v>
      </c>
    </row>
    <row r="1390" spans="1:11" ht="99.75" x14ac:dyDescent="0.25">
      <c r="A1390" s="88">
        <v>108</v>
      </c>
      <c r="B1390" s="89" t="s">
        <v>26</v>
      </c>
      <c r="C1390" s="88" t="s">
        <v>0</v>
      </c>
      <c r="D1390" s="89"/>
      <c r="E1390" s="90">
        <v>134925</v>
      </c>
      <c r="F1390" s="88">
        <v>3</v>
      </c>
      <c r="G1390" s="89" t="s">
        <v>5363</v>
      </c>
      <c r="H1390" s="89" t="s">
        <v>3320</v>
      </c>
      <c r="I1390" s="89" t="s">
        <v>32</v>
      </c>
      <c r="J1390" s="89" t="s">
        <v>1697</v>
      </c>
      <c r="K1390" s="89" t="str">
        <f>"00050998"</f>
        <v>00050998</v>
      </c>
    </row>
    <row r="1391" spans="1:11" ht="85.5" x14ac:dyDescent="0.25">
      <c r="A1391" s="88">
        <v>108</v>
      </c>
      <c r="B1391" s="89" t="s">
        <v>26</v>
      </c>
      <c r="C1391" s="88" t="s">
        <v>0</v>
      </c>
      <c r="D1391" s="89"/>
      <c r="E1391" s="90">
        <v>70208</v>
      </c>
      <c r="F1391" s="88">
        <v>3</v>
      </c>
      <c r="G1391" s="89" t="s">
        <v>5364</v>
      </c>
      <c r="H1391" s="89" t="s">
        <v>2571</v>
      </c>
      <c r="I1391" s="89" t="s">
        <v>237</v>
      </c>
      <c r="J1391" s="89" t="s">
        <v>3321</v>
      </c>
      <c r="K1391" s="89" t="str">
        <f>"00051669"</f>
        <v>00051669</v>
      </c>
    </row>
    <row r="1392" spans="1:11" ht="28.5" x14ac:dyDescent="0.25">
      <c r="A1392" s="88">
        <v>108</v>
      </c>
      <c r="B1392" s="89" t="s">
        <v>26</v>
      </c>
      <c r="C1392" s="88" t="s">
        <v>0</v>
      </c>
      <c r="D1392" s="94">
        <v>370508</v>
      </c>
      <c r="E1392" s="90"/>
      <c r="F1392" s="88">
        <v>3</v>
      </c>
      <c r="G1392" s="89" t="s">
        <v>29</v>
      </c>
      <c r="H1392" s="89"/>
      <c r="I1392" s="89" t="s">
        <v>14</v>
      </c>
      <c r="J1392" s="89"/>
      <c r="K1392" s="89" t="str">
        <f>"　"</f>
        <v>　</v>
      </c>
    </row>
    <row r="1393" spans="1:11" ht="99.75" x14ac:dyDescent="0.25">
      <c r="A1393" s="88">
        <v>108</v>
      </c>
      <c r="B1393" s="89" t="s">
        <v>26</v>
      </c>
      <c r="C1393" s="88" t="s">
        <v>0</v>
      </c>
      <c r="D1393" s="89"/>
      <c r="E1393" s="90">
        <v>51318</v>
      </c>
      <c r="F1393" s="88">
        <v>3</v>
      </c>
      <c r="G1393" s="89" t="s">
        <v>865</v>
      </c>
      <c r="H1393" s="89" t="s">
        <v>866</v>
      </c>
      <c r="I1393" s="89" t="s">
        <v>66</v>
      </c>
      <c r="J1393" s="89" t="s">
        <v>99</v>
      </c>
      <c r="K1393" s="89" t="str">
        <f>"00049072"</f>
        <v>00049072</v>
      </c>
    </row>
    <row r="1394" spans="1:11" ht="114" x14ac:dyDescent="0.25">
      <c r="A1394" s="88">
        <v>108</v>
      </c>
      <c r="B1394" s="89" t="s">
        <v>26</v>
      </c>
      <c r="C1394" s="88" t="s">
        <v>0</v>
      </c>
      <c r="D1394" s="89"/>
      <c r="E1394" s="90">
        <v>52561</v>
      </c>
      <c r="F1394" s="88">
        <v>3</v>
      </c>
      <c r="G1394" s="89" t="s">
        <v>3322</v>
      </c>
      <c r="H1394" s="89" t="s">
        <v>3323</v>
      </c>
      <c r="I1394" s="89" t="s">
        <v>32</v>
      </c>
      <c r="J1394" s="89" t="s">
        <v>2709</v>
      </c>
      <c r="K1394" s="89" t="s">
        <v>6037</v>
      </c>
    </row>
    <row r="1395" spans="1:11" ht="99.75" x14ac:dyDescent="0.25">
      <c r="A1395" s="88">
        <v>108</v>
      </c>
      <c r="B1395" s="89" t="s">
        <v>26</v>
      </c>
      <c r="C1395" s="88" t="s">
        <v>0</v>
      </c>
      <c r="D1395" s="89"/>
      <c r="E1395" s="90">
        <v>42853</v>
      </c>
      <c r="F1395" s="88">
        <v>3</v>
      </c>
      <c r="G1395" s="89" t="s">
        <v>3324</v>
      </c>
      <c r="H1395" s="89" t="s">
        <v>556</v>
      </c>
      <c r="I1395" s="89" t="s">
        <v>66</v>
      </c>
      <c r="J1395" s="89" t="s">
        <v>99</v>
      </c>
      <c r="K1395" s="89" t="str">
        <f>"00049035"</f>
        <v>00049035</v>
      </c>
    </row>
    <row r="1396" spans="1:11" ht="85.5" x14ac:dyDescent="0.25">
      <c r="A1396" s="88">
        <v>108</v>
      </c>
      <c r="B1396" s="89" t="s">
        <v>26</v>
      </c>
      <c r="C1396" s="88" t="s">
        <v>0</v>
      </c>
      <c r="D1396" s="89"/>
      <c r="E1396" s="90">
        <v>39579</v>
      </c>
      <c r="F1396" s="88">
        <v>3</v>
      </c>
      <c r="G1396" s="89" t="s">
        <v>3325</v>
      </c>
      <c r="H1396" s="89" t="s">
        <v>3326</v>
      </c>
      <c r="I1396" s="89" t="s">
        <v>242</v>
      </c>
      <c r="J1396" s="89" t="s">
        <v>243</v>
      </c>
      <c r="K1396" s="89" t="str">
        <f>"00048251"</f>
        <v>00048251</v>
      </c>
    </row>
    <row r="1397" spans="1:11" ht="114" x14ac:dyDescent="0.25">
      <c r="A1397" s="88">
        <v>108</v>
      </c>
      <c r="B1397" s="89" t="s">
        <v>26</v>
      </c>
      <c r="C1397" s="88" t="s">
        <v>0</v>
      </c>
      <c r="D1397" s="89"/>
      <c r="E1397" s="90">
        <v>66948</v>
      </c>
      <c r="F1397" s="88">
        <v>3</v>
      </c>
      <c r="G1397" s="89" t="s">
        <v>869</v>
      </c>
      <c r="H1397" s="89" t="s">
        <v>868</v>
      </c>
      <c r="I1397" s="89" t="s">
        <v>66</v>
      </c>
      <c r="J1397" s="89" t="s">
        <v>99</v>
      </c>
      <c r="K1397" s="89" t="str">
        <f>"00047941"</f>
        <v>00047941</v>
      </c>
    </row>
    <row r="1398" spans="1:11" ht="99.75" x14ac:dyDescent="0.25">
      <c r="A1398" s="88">
        <v>108</v>
      </c>
      <c r="B1398" s="89" t="s">
        <v>26</v>
      </c>
      <c r="C1398" s="88" t="s">
        <v>0</v>
      </c>
      <c r="D1398" s="89"/>
      <c r="E1398" s="90">
        <v>62613</v>
      </c>
      <c r="F1398" s="88">
        <v>3</v>
      </c>
      <c r="G1398" s="89" t="s">
        <v>867</v>
      </c>
      <c r="H1398" s="89" t="s">
        <v>868</v>
      </c>
      <c r="I1398" s="89" t="s">
        <v>66</v>
      </c>
      <c r="J1398" s="89" t="s">
        <v>99</v>
      </c>
      <c r="K1398" s="89" t="str">
        <f>"00047952"</f>
        <v>00047952</v>
      </c>
    </row>
    <row r="1399" spans="1:11" ht="71.25" x14ac:dyDescent="0.25">
      <c r="A1399" s="88">
        <v>108</v>
      </c>
      <c r="B1399" s="89" t="s">
        <v>26</v>
      </c>
      <c r="C1399" s="88" t="s">
        <v>0</v>
      </c>
      <c r="D1399" s="89"/>
      <c r="E1399" s="90">
        <v>54636</v>
      </c>
      <c r="F1399" s="88">
        <v>3</v>
      </c>
      <c r="G1399" s="89" t="s">
        <v>3327</v>
      </c>
      <c r="H1399" s="89" t="s">
        <v>3326</v>
      </c>
      <c r="I1399" s="89" t="s">
        <v>242</v>
      </c>
      <c r="J1399" s="89" t="s">
        <v>243</v>
      </c>
      <c r="K1399" s="89" t="str">
        <f>"00047994"</f>
        <v>00047994</v>
      </c>
    </row>
    <row r="1400" spans="1:11" ht="28.5" x14ac:dyDescent="0.25">
      <c r="A1400" s="88">
        <v>108</v>
      </c>
      <c r="B1400" s="89" t="s">
        <v>26</v>
      </c>
      <c r="C1400" s="88" t="s">
        <v>0</v>
      </c>
      <c r="D1400" s="94">
        <v>248377</v>
      </c>
      <c r="E1400" s="90"/>
      <c r="F1400" s="88">
        <v>3</v>
      </c>
      <c r="G1400" s="89" t="s">
        <v>29</v>
      </c>
      <c r="H1400" s="89"/>
      <c r="I1400" s="89" t="s">
        <v>14</v>
      </c>
      <c r="J1400" s="89"/>
      <c r="K1400" s="89" t="str">
        <f>"　"</f>
        <v>　</v>
      </c>
    </row>
    <row r="1401" spans="1:11" ht="42.75" x14ac:dyDescent="0.25">
      <c r="A1401" s="88">
        <v>108</v>
      </c>
      <c r="B1401" s="89" t="s">
        <v>26</v>
      </c>
      <c r="C1401" s="88" t="s">
        <v>0</v>
      </c>
      <c r="D1401" s="89"/>
      <c r="E1401" s="90">
        <v>43894</v>
      </c>
      <c r="F1401" s="88">
        <v>3</v>
      </c>
      <c r="G1401" s="89" t="s">
        <v>870</v>
      </c>
      <c r="H1401" s="89" t="s">
        <v>871</v>
      </c>
      <c r="I1401" s="89" t="s">
        <v>66</v>
      </c>
      <c r="J1401" s="89" t="s">
        <v>99</v>
      </c>
      <c r="K1401" s="89" t="str">
        <f>"00047458"</f>
        <v>00047458</v>
      </c>
    </row>
    <row r="1402" spans="1:11" ht="57" x14ac:dyDescent="0.25">
      <c r="A1402" s="88">
        <v>108</v>
      </c>
      <c r="B1402" s="89" t="s">
        <v>26</v>
      </c>
      <c r="C1402" s="88" t="s">
        <v>0</v>
      </c>
      <c r="D1402" s="89"/>
      <c r="E1402" s="90">
        <v>65627</v>
      </c>
      <c r="F1402" s="88">
        <v>3</v>
      </c>
      <c r="G1402" s="89" t="s">
        <v>872</v>
      </c>
      <c r="H1402" s="89" t="s">
        <v>873</v>
      </c>
      <c r="I1402" s="89" t="s">
        <v>66</v>
      </c>
      <c r="J1402" s="89" t="s">
        <v>874</v>
      </c>
      <c r="K1402" s="89" t="str">
        <f>"00046970"</f>
        <v>00046970</v>
      </c>
    </row>
    <row r="1403" spans="1:11" ht="85.5" x14ac:dyDescent="0.25">
      <c r="A1403" s="88">
        <v>108</v>
      </c>
      <c r="B1403" s="89" t="s">
        <v>26</v>
      </c>
      <c r="C1403" s="88" t="s">
        <v>0</v>
      </c>
      <c r="D1403" s="89"/>
      <c r="E1403" s="90">
        <v>64528</v>
      </c>
      <c r="F1403" s="88">
        <v>3</v>
      </c>
      <c r="G1403" s="89" t="s">
        <v>875</v>
      </c>
      <c r="H1403" s="89" t="s">
        <v>876</v>
      </c>
      <c r="I1403" s="89" t="s">
        <v>66</v>
      </c>
      <c r="J1403" s="89" t="s">
        <v>877</v>
      </c>
      <c r="K1403" s="89" t="str">
        <f>"00047439"</f>
        <v>00047439</v>
      </c>
    </row>
    <row r="1404" spans="1:11" ht="85.5" x14ac:dyDescent="0.25">
      <c r="A1404" s="88">
        <v>108</v>
      </c>
      <c r="B1404" s="89" t="s">
        <v>26</v>
      </c>
      <c r="C1404" s="88" t="s">
        <v>0</v>
      </c>
      <c r="D1404" s="89"/>
      <c r="E1404" s="90">
        <v>74328</v>
      </c>
      <c r="F1404" s="88">
        <v>3</v>
      </c>
      <c r="G1404" s="89" t="s">
        <v>878</v>
      </c>
      <c r="H1404" s="89" t="s">
        <v>879</v>
      </c>
      <c r="I1404" s="89" t="s">
        <v>66</v>
      </c>
      <c r="J1404" s="89" t="s">
        <v>880</v>
      </c>
      <c r="K1404" s="89" t="str">
        <f>"00046969"</f>
        <v>00046969</v>
      </c>
    </row>
    <row r="1405" spans="1:11" ht="28.5" x14ac:dyDescent="0.25">
      <c r="A1405" s="88">
        <v>108</v>
      </c>
      <c r="B1405" s="89" t="s">
        <v>26</v>
      </c>
      <c r="C1405" s="88" t="s">
        <v>0</v>
      </c>
      <c r="D1405" s="94">
        <v>149756</v>
      </c>
      <c r="E1405" s="90"/>
      <c r="F1405" s="88">
        <v>3</v>
      </c>
      <c r="G1405" s="89" t="s">
        <v>29</v>
      </c>
      <c r="H1405" s="89"/>
      <c r="I1405" s="89" t="s">
        <v>14</v>
      </c>
      <c r="J1405" s="89"/>
      <c r="K1405" s="89" t="str">
        <f>"　"</f>
        <v>　</v>
      </c>
    </row>
    <row r="1406" spans="1:11" ht="85.5" x14ac:dyDescent="0.25">
      <c r="A1406" s="88">
        <v>108</v>
      </c>
      <c r="B1406" s="89" t="s">
        <v>26</v>
      </c>
      <c r="C1406" s="88" t="s">
        <v>0</v>
      </c>
      <c r="D1406" s="89"/>
      <c r="E1406" s="90">
        <v>101633</v>
      </c>
      <c r="F1406" s="88">
        <v>3</v>
      </c>
      <c r="G1406" s="89" t="s">
        <v>3328</v>
      </c>
      <c r="H1406" s="89" t="s">
        <v>2074</v>
      </c>
      <c r="I1406" s="89" t="s">
        <v>66</v>
      </c>
      <c r="J1406" s="89" t="s">
        <v>3329</v>
      </c>
      <c r="K1406" s="89" t="str">
        <f>"00050851"</f>
        <v>00050851</v>
      </c>
    </row>
    <row r="1407" spans="1:11" ht="71.25" x14ac:dyDescent="0.25">
      <c r="A1407" s="88">
        <v>108</v>
      </c>
      <c r="B1407" s="89" t="s">
        <v>26</v>
      </c>
      <c r="C1407" s="88" t="s">
        <v>0</v>
      </c>
      <c r="D1407" s="89"/>
      <c r="E1407" s="90">
        <v>18000</v>
      </c>
      <c r="F1407" s="88">
        <v>3</v>
      </c>
      <c r="G1407" s="89" t="s">
        <v>1437</v>
      </c>
      <c r="H1407" s="89" t="s">
        <v>1441</v>
      </c>
      <c r="I1407" s="89" t="s">
        <v>66</v>
      </c>
      <c r="J1407" s="89" t="s">
        <v>1439</v>
      </c>
      <c r="K1407" s="89" t="str">
        <f>"00050384"</f>
        <v>00050384</v>
      </c>
    </row>
    <row r="1408" spans="1:11" ht="57" x14ac:dyDescent="0.25">
      <c r="A1408" s="88">
        <v>108</v>
      </c>
      <c r="B1408" s="89" t="s">
        <v>26</v>
      </c>
      <c r="C1408" s="88" t="s">
        <v>0</v>
      </c>
      <c r="D1408" s="89"/>
      <c r="E1408" s="90">
        <v>36731</v>
      </c>
      <c r="F1408" s="88">
        <v>3</v>
      </c>
      <c r="G1408" s="89" t="s">
        <v>3330</v>
      </c>
      <c r="H1408" s="89" t="s">
        <v>3331</v>
      </c>
      <c r="I1408" s="89" t="s">
        <v>66</v>
      </c>
      <c r="J1408" s="89" t="s">
        <v>1237</v>
      </c>
      <c r="K1408" s="89" t="str">
        <f>"00050355"</f>
        <v>00050355</v>
      </c>
    </row>
    <row r="1409" spans="1:11" ht="71.25" x14ac:dyDescent="0.25">
      <c r="A1409" s="88">
        <v>108</v>
      </c>
      <c r="B1409" s="89" t="s">
        <v>26</v>
      </c>
      <c r="C1409" s="88" t="s">
        <v>0</v>
      </c>
      <c r="D1409" s="89"/>
      <c r="E1409" s="90">
        <v>11392</v>
      </c>
      <c r="F1409" s="88">
        <v>3</v>
      </c>
      <c r="G1409" s="89" t="s">
        <v>1437</v>
      </c>
      <c r="H1409" s="89" t="s">
        <v>1438</v>
      </c>
      <c r="I1409" s="89" t="s">
        <v>66</v>
      </c>
      <c r="J1409" s="89" t="s">
        <v>1439</v>
      </c>
      <c r="K1409" s="89" t="str">
        <f>"00050356"</f>
        <v>00050356</v>
      </c>
    </row>
    <row r="1410" spans="1:11" ht="42.75" x14ac:dyDescent="0.25">
      <c r="A1410" s="88">
        <v>108</v>
      </c>
      <c r="B1410" s="89" t="s">
        <v>4194</v>
      </c>
      <c r="C1410" s="88" t="s">
        <v>0</v>
      </c>
      <c r="D1410" s="89"/>
      <c r="E1410" s="90">
        <v>179</v>
      </c>
      <c r="F1410" s="88">
        <v>3</v>
      </c>
      <c r="G1410" s="89" t="s">
        <v>4287</v>
      </c>
      <c r="H1410" s="89" t="s">
        <v>365</v>
      </c>
      <c r="I1410" s="89" t="s">
        <v>66</v>
      </c>
      <c r="J1410" s="89" t="s">
        <v>148</v>
      </c>
      <c r="K1410" s="89" t="str">
        <f>"00048152"</f>
        <v>00048152</v>
      </c>
    </row>
    <row r="1411" spans="1:11" ht="85.5" x14ac:dyDescent="0.25">
      <c r="A1411" s="88">
        <v>108</v>
      </c>
      <c r="B1411" s="89" t="s">
        <v>4194</v>
      </c>
      <c r="C1411" s="88" t="s">
        <v>0</v>
      </c>
      <c r="D1411" s="89"/>
      <c r="E1411" s="90">
        <v>50208</v>
      </c>
      <c r="F1411" s="88">
        <v>3</v>
      </c>
      <c r="G1411" s="89" t="s">
        <v>4195</v>
      </c>
      <c r="H1411" s="89" t="s">
        <v>4196</v>
      </c>
      <c r="I1411" s="89" t="s">
        <v>2782</v>
      </c>
      <c r="J1411" s="89" t="s">
        <v>4197</v>
      </c>
      <c r="K1411" s="89" t="s">
        <v>6038</v>
      </c>
    </row>
    <row r="1412" spans="1:11" ht="42.75" x14ac:dyDescent="0.25">
      <c r="A1412" s="88">
        <v>108</v>
      </c>
      <c r="B1412" s="89" t="s">
        <v>4194</v>
      </c>
      <c r="C1412" s="88" t="s">
        <v>0</v>
      </c>
      <c r="D1412" s="89"/>
      <c r="E1412" s="90">
        <v>179</v>
      </c>
      <c r="F1412" s="88">
        <v>3</v>
      </c>
      <c r="G1412" s="89" t="s">
        <v>4288</v>
      </c>
      <c r="H1412" s="89" t="s">
        <v>365</v>
      </c>
      <c r="I1412" s="89" t="s">
        <v>66</v>
      </c>
      <c r="J1412" s="89" t="s">
        <v>148</v>
      </c>
      <c r="K1412" s="89" t="str">
        <f>"00048153"</f>
        <v>00048153</v>
      </c>
    </row>
    <row r="1413" spans="1:11" ht="42.75" x14ac:dyDescent="0.25">
      <c r="A1413" s="88">
        <v>108</v>
      </c>
      <c r="B1413" s="89" t="s">
        <v>4162</v>
      </c>
      <c r="C1413" s="88" t="s">
        <v>0</v>
      </c>
      <c r="D1413" s="89"/>
      <c r="E1413" s="90">
        <v>1419</v>
      </c>
      <c r="F1413" s="88">
        <v>3</v>
      </c>
      <c r="G1413" s="89" t="s">
        <v>2097</v>
      </c>
      <c r="H1413" s="89" t="s">
        <v>1842</v>
      </c>
      <c r="I1413" s="89" t="s">
        <v>32</v>
      </c>
      <c r="J1413" s="89" t="s">
        <v>2098</v>
      </c>
      <c r="K1413" s="89" t="s">
        <v>6597</v>
      </c>
    </row>
    <row r="1414" spans="1:11" ht="28.5" x14ac:dyDescent="0.25">
      <c r="A1414" s="88">
        <v>108</v>
      </c>
      <c r="B1414" s="89" t="s">
        <v>26</v>
      </c>
      <c r="C1414" s="88" t="s">
        <v>0</v>
      </c>
      <c r="D1414" s="94">
        <v>100000</v>
      </c>
      <c r="E1414" s="28"/>
      <c r="F1414" s="88">
        <v>4</v>
      </c>
      <c r="G1414" s="89" t="s">
        <v>29</v>
      </c>
      <c r="H1414" s="89"/>
      <c r="I1414" s="89" t="s">
        <v>14</v>
      </c>
      <c r="J1414" s="89"/>
      <c r="K1414" s="89" t="str">
        <f>"　"</f>
        <v>　</v>
      </c>
    </row>
    <row r="1415" spans="1:11" ht="42.75" x14ac:dyDescent="0.25">
      <c r="A1415" s="88">
        <v>108</v>
      </c>
      <c r="B1415" s="89" t="s">
        <v>4187</v>
      </c>
      <c r="C1415" s="88" t="s">
        <v>0</v>
      </c>
      <c r="D1415" s="89"/>
      <c r="E1415" s="91">
        <v>57079</v>
      </c>
      <c r="F1415" s="88">
        <v>3</v>
      </c>
      <c r="G1415" s="89" t="s">
        <v>4187</v>
      </c>
      <c r="H1415" s="89" t="s">
        <v>2789</v>
      </c>
      <c r="I1415" s="89" t="s">
        <v>32</v>
      </c>
      <c r="J1415" s="89" t="s">
        <v>4188</v>
      </c>
      <c r="K1415" s="89" t="str">
        <f>"00049111"</f>
        <v>00049111</v>
      </c>
    </row>
    <row r="1416" spans="1:11" ht="71.25" x14ac:dyDescent="0.25">
      <c r="A1416" s="88">
        <v>108</v>
      </c>
      <c r="B1416" s="89" t="s">
        <v>4175</v>
      </c>
      <c r="C1416" s="88" t="s">
        <v>0</v>
      </c>
      <c r="D1416" s="89"/>
      <c r="E1416" s="91">
        <v>30000</v>
      </c>
      <c r="F1416" s="88">
        <v>3</v>
      </c>
      <c r="G1416" s="89" t="s">
        <v>4175</v>
      </c>
      <c r="H1416" s="89" t="s">
        <v>1936</v>
      </c>
      <c r="I1416" s="89" t="s">
        <v>32</v>
      </c>
      <c r="J1416" s="89" t="s">
        <v>1937</v>
      </c>
      <c r="K1416" s="89" t="str">
        <f>"00051251"</f>
        <v>00051251</v>
      </c>
    </row>
    <row r="1417" spans="1:11" ht="42.75" x14ac:dyDescent="0.25">
      <c r="A1417" s="88">
        <v>108</v>
      </c>
      <c r="B1417" s="89" t="s">
        <v>4237</v>
      </c>
      <c r="C1417" s="88" t="s">
        <v>0</v>
      </c>
      <c r="D1417" s="89"/>
      <c r="E1417" s="91">
        <v>108646</v>
      </c>
      <c r="F1417" s="88">
        <v>3</v>
      </c>
      <c r="G1417" s="89" t="s">
        <v>4237</v>
      </c>
      <c r="H1417" s="89" t="s">
        <v>4238</v>
      </c>
      <c r="I1417" s="89" t="s">
        <v>32</v>
      </c>
      <c r="J1417" s="89" t="s">
        <v>4239</v>
      </c>
      <c r="K1417" s="89" t="str">
        <f>"00051009"</f>
        <v>00051009</v>
      </c>
    </row>
    <row r="1418" spans="1:11" ht="71.25" x14ac:dyDescent="0.25">
      <c r="A1418" s="88">
        <v>108</v>
      </c>
      <c r="B1418" s="89" t="s">
        <v>4227</v>
      </c>
      <c r="C1418" s="88" t="s">
        <v>0</v>
      </c>
      <c r="D1418" s="89"/>
      <c r="E1418" s="91">
        <v>38373</v>
      </c>
      <c r="F1418" s="88">
        <v>3</v>
      </c>
      <c r="G1418" s="89" t="s">
        <v>4227</v>
      </c>
      <c r="H1418" s="89" t="s">
        <v>1670</v>
      </c>
      <c r="I1418" s="89" t="s">
        <v>3383</v>
      </c>
      <c r="J1418" s="89" t="s">
        <v>4228</v>
      </c>
      <c r="K1418" s="89" t="s">
        <v>5923</v>
      </c>
    </row>
    <row r="1419" spans="1:11" ht="42.75" x14ac:dyDescent="0.25">
      <c r="A1419" s="88">
        <v>108</v>
      </c>
      <c r="B1419" s="89" t="s">
        <v>4254</v>
      </c>
      <c r="C1419" s="88" t="s">
        <v>0</v>
      </c>
      <c r="D1419" s="89"/>
      <c r="E1419" s="91">
        <v>180495</v>
      </c>
      <c r="F1419" s="88">
        <v>3</v>
      </c>
      <c r="G1419" s="89" t="s">
        <v>4254</v>
      </c>
      <c r="H1419" s="89" t="s">
        <v>4255</v>
      </c>
      <c r="I1419" s="89" t="s">
        <v>32</v>
      </c>
      <c r="J1419" s="89" t="s">
        <v>4256</v>
      </c>
      <c r="K1419" s="89" t="str">
        <f>"00047928"</f>
        <v>00047928</v>
      </c>
    </row>
    <row r="1420" spans="1:11" ht="42.75" x14ac:dyDescent="0.25">
      <c r="A1420" s="83">
        <v>107</v>
      </c>
      <c r="B1420" s="84" t="s">
        <v>5402</v>
      </c>
      <c r="C1420" s="83" t="s">
        <v>0</v>
      </c>
      <c r="D1420" s="84"/>
      <c r="E1420" s="51">
        <v>221032</v>
      </c>
      <c r="F1420" s="83">
        <v>3</v>
      </c>
      <c r="G1420" s="84" t="s">
        <v>5403</v>
      </c>
      <c r="H1420" s="84" t="s">
        <v>5404</v>
      </c>
      <c r="I1420" s="84" t="s">
        <v>32</v>
      </c>
      <c r="J1420" s="84" t="s">
        <v>4186</v>
      </c>
      <c r="K1420" s="84" t="s">
        <v>5734</v>
      </c>
    </row>
    <row r="1421" spans="1:11" ht="42.75" x14ac:dyDescent="0.25">
      <c r="A1421" s="83">
        <v>107</v>
      </c>
      <c r="B1421" s="84" t="s">
        <v>5402</v>
      </c>
      <c r="C1421" s="83" t="s">
        <v>0</v>
      </c>
      <c r="D1421" s="84"/>
      <c r="E1421" s="51">
        <v>192595</v>
      </c>
      <c r="F1421" s="83">
        <v>7</v>
      </c>
      <c r="G1421" s="84" t="s">
        <v>5402</v>
      </c>
      <c r="H1421" s="84" t="s">
        <v>5405</v>
      </c>
      <c r="I1421" s="84" t="s">
        <v>32</v>
      </c>
      <c r="J1421" s="84" t="s">
        <v>4186</v>
      </c>
      <c r="K1421" s="31" t="s">
        <v>5735</v>
      </c>
    </row>
    <row r="1422" spans="1:11" ht="57" x14ac:dyDescent="0.25">
      <c r="A1422" s="83">
        <v>107</v>
      </c>
      <c r="B1422" s="84" t="s">
        <v>5402</v>
      </c>
      <c r="C1422" s="83" t="s">
        <v>0</v>
      </c>
      <c r="D1422" s="84"/>
      <c r="E1422" s="51">
        <v>43324</v>
      </c>
      <c r="F1422" s="83">
        <v>7</v>
      </c>
      <c r="G1422" s="84" t="s">
        <v>5402</v>
      </c>
      <c r="H1422" s="84" t="s">
        <v>5405</v>
      </c>
      <c r="I1422" s="84" t="s">
        <v>32</v>
      </c>
      <c r="J1422" s="84" t="s">
        <v>4186</v>
      </c>
      <c r="K1422" s="84" t="s">
        <v>5736</v>
      </c>
    </row>
    <row r="1423" spans="1:11" ht="42.75" x14ac:dyDescent="0.25">
      <c r="A1423" s="88">
        <v>108</v>
      </c>
      <c r="B1423" s="89" t="s">
        <v>4179</v>
      </c>
      <c r="C1423" s="88" t="s">
        <v>0</v>
      </c>
      <c r="D1423" s="89"/>
      <c r="E1423" s="90">
        <v>38049</v>
      </c>
      <c r="F1423" s="88">
        <v>3</v>
      </c>
      <c r="G1423" s="89" t="s">
        <v>4179</v>
      </c>
      <c r="H1423" s="89" t="s">
        <v>3089</v>
      </c>
      <c r="I1423" s="89" t="s">
        <v>32</v>
      </c>
      <c r="J1423" s="89" t="s">
        <v>4180</v>
      </c>
      <c r="K1423" s="89" t="str">
        <f>"00051465"</f>
        <v>00051465</v>
      </c>
    </row>
    <row r="1424" spans="1:11" ht="42.75" x14ac:dyDescent="0.25">
      <c r="A1424" s="88">
        <v>108</v>
      </c>
      <c r="B1424" s="89" t="s">
        <v>4261</v>
      </c>
      <c r="C1424" s="88" t="s">
        <v>0</v>
      </c>
      <c r="D1424" s="89"/>
      <c r="E1424" s="90">
        <v>183349</v>
      </c>
      <c r="F1424" s="88">
        <v>3</v>
      </c>
      <c r="G1424" s="89" t="s">
        <v>4262</v>
      </c>
      <c r="H1424" s="89" t="s">
        <v>4263</v>
      </c>
      <c r="I1424" s="89" t="s">
        <v>32</v>
      </c>
      <c r="J1424" s="89" t="s">
        <v>4264</v>
      </c>
      <c r="K1424" s="89" t="str">
        <f>"00046712"</f>
        <v>00046712</v>
      </c>
    </row>
    <row r="1425" spans="1:11" ht="42.75" x14ac:dyDescent="0.25">
      <c r="A1425" s="88">
        <v>108</v>
      </c>
      <c r="B1425" s="89" t="s">
        <v>3365</v>
      </c>
      <c r="C1425" s="88" t="s">
        <v>0</v>
      </c>
      <c r="D1425" s="89"/>
      <c r="E1425" s="90">
        <v>18500</v>
      </c>
      <c r="F1425" s="88">
        <v>3</v>
      </c>
      <c r="G1425" s="89" t="s">
        <v>3365</v>
      </c>
      <c r="H1425" s="89" t="s">
        <v>1718</v>
      </c>
      <c r="I1425" s="89" t="s">
        <v>32</v>
      </c>
      <c r="J1425" s="89" t="s">
        <v>2313</v>
      </c>
      <c r="K1425" s="89" t="str">
        <f>"00052000"</f>
        <v>00052000</v>
      </c>
    </row>
    <row r="1426" spans="1:11" ht="42.75" x14ac:dyDescent="0.25">
      <c r="A1426" s="88">
        <v>108</v>
      </c>
      <c r="B1426" s="89" t="s">
        <v>4184</v>
      </c>
      <c r="C1426" s="88" t="s">
        <v>0</v>
      </c>
      <c r="D1426" s="89"/>
      <c r="E1426" s="90">
        <v>93992</v>
      </c>
      <c r="F1426" s="88">
        <v>3</v>
      </c>
      <c r="G1426" s="89" t="s">
        <v>4184</v>
      </c>
      <c r="H1426" s="89" t="s">
        <v>4185</v>
      </c>
      <c r="I1426" s="89" t="s">
        <v>32</v>
      </c>
      <c r="J1426" s="89" t="s">
        <v>4186</v>
      </c>
      <c r="K1426" s="89" t="str">
        <f>"00050038"</f>
        <v>00050038</v>
      </c>
    </row>
    <row r="1427" spans="1:11" ht="57" x14ac:dyDescent="0.25">
      <c r="A1427" s="88">
        <v>108</v>
      </c>
      <c r="B1427" s="89" t="s">
        <v>4206</v>
      </c>
      <c r="C1427" s="88" t="s">
        <v>0</v>
      </c>
      <c r="D1427" s="89"/>
      <c r="E1427" s="90">
        <v>65465</v>
      </c>
      <c r="F1427" s="88">
        <v>3</v>
      </c>
      <c r="G1427" s="89" t="s">
        <v>4206</v>
      </c>
      <c r="H1427" s="89" t="s">
        <v>4207</v>
      </c>
      <c r="I1427" s="89" t="s">
        <v>32</v>
      </c>
      <c r="J1427" s="89" t="s">
        <v>729</v>
      </c>
      <c r="K1427" s="89" t="str">
        <f>"00049082"</f>
        <v>00049082</v>
      </c>
    </row>
    <row r="1428" spans="1:11" ht="57" x14ac:dyDescent="0.25">
      <c r="A1428" s="88">
        <v>108</v>
      </c>
      <c r="B1428" s="89" t="s">
        <v>2349</v>
      </c>
      <c r="C1428" s="88" t="s">
        <v>0</v>
      </c>
      <c r="D1428" s="89"/>
      <c r="E1428" s="90">
        <v>1729</v>
      </c>
      <c r="F1428" s="88">
        <v>3</v>
      </c>
      <c r="G1428" s="89" t="s">
        <v>2349</v>
      </c>
      <c r="H1428" s="89" t="s">
        <v>4217</v>
      </c>
      <c r="I1428" s="89" t="s">
        <v>32</v>
      </c>
      <c r="J1428" s="89" t="s">
        <v>742</v>
      </c>
      <c r="K1428" s="89" t="str">
        <f>"00051447"</f>
        <v>00051447</v>
      </c>
    </row>
    <row r="1429" spans="1:11" ht="57" x14ac:dyDescent="0.25">
      <c r="A1429" s="88">
        <v>108</v>
      </c>
      <c r="B1429" s="89" t="s">
        <v>4210</v>
      </c>
      <c r="C1429" s="88" t="s">
        <v>0</v>
      </c>
      <c r="D1429" s="89"/>
      <c r="E1429" s="90">
        <v>148406</v>
      </c>
      <c r="F1429" s="88">
        <v>3</v>
      </c>
      <c r="G1429" s="89" t="s">
        <v>4211</v>
      </c>
      <c r="H1429" s="89" t="s">
        <v>4212</v>
      </c>
      <c r="I1429" s="89" t="s">
        <v>32</v>
      </c>
      <c r="J1429" s="89" t="s">
        <v>4186</v>
      </c>
      <c r="K1429" s="89" t="str">
        <f>"00048644"</f>
        <v>00048644</v>
      </c>
    </row>
    <row r="1430" spans="1:11" ht="42.75" x14ac:dyDescent="0.25">
      <c r="A1430" s="88">
        <v>108</v>
      </c>
      <c r="B1430" s="89" t="s">
        <v>4232</v>
      </c>
      <c r="C1430" s="88" t="s">
        <v>0</v>
      </c>
      <c r="D1430" s="89"/>
      <c r="E1430" s="90">
        <v>120643</v>
      </c>
      <c r="F1430" s="88">
        <v>3</v>
      </c>
      <c r="G1430" s="89" t="s">
        <v>4232</v>
      </c>
      <c r="H1430" s="89" t="s">
        <v>4233</v>
      </c>
      <c r="I1430" s="89" t="s">
        <v>32</v>
      </c>
      <c r="J1430" s="89" t="s">
        <v>4186</v>
      </c>
      <c r="K1430" s="89" t="str">
        <f>"00051104"</f>
        <v>00051104</v>
      </c>
    </row>
    <row r="1431" spans="1:11" ht="71.25" x14ac:dyDescent="0.25">
      <c r="A1431" s="88">
        <v>108</v>
      </c>
      <c r="B1431" s="89" t="s">
        <v>4251</v>
      </c>
      <c r="C1431" s="88" t="s">
        <v>0</v>
      </c>
      <c r="D1431" s="89"/>
      <c r="E1431" s="90">
        <v>106100</v>
      </c>
      <c r="F1431" s="88">
        <v>3</v>
      </c>
      <c r="G1431" s="89" t="s">
        <v>4251</v>
      </c>
      <c r="H1431" s="89" t="s">
        <v>4252</v>
      </c>
      <c r="I1431" s="89" t="s">
        <v>32</v>
      </c>
      <c r="J1431" s="89" t="s">
        <v>4253</v>
      </c>
      <c r="K1431" s="89" t="str">
        <f>"00052115"</f>
        <v>00052115</v>
      </c>
    </row>
    <row r="1432" spans="1:11" ht="42.75" x14ac:dyDescent="0.25">
      <c r="A1432" s="88">
        <v>108</v>
      </c>
      <c r="B1432" s="89" t="s">
        <v>4244</v>
      </c>
      <c r="C1432" s="88" t="s">
        <v>0</v>
      </c>
      <c r="D1432" s="89"/>
      <c r="E1432" s="90">
        <v>11387</v>
      </c>
      <c r="F1432" s="88">
        <v>3</v>
      </c>
      <c r="G1432" s="89" t="s">
        <v>4244</v>
      </c>
      <c r="H1432" s="89" t="s">
        <v>4245</v>
      </c>
      <c r="I1432" s="89" t="s">
        <v>94</v>
      </c>
      <c r="J1432" s="89" t="s">
        <v>4246</v>
      </c>
      <c r="K1432" s="89" t="str">
        <f>"00052732"</f>
        <v>00052732</v>
      </c>
    </row>
    <row r="1433" spans="1:11" ht="57" x14ac:dyDescent="0.25">
      <c r="A1433" s="88">
        <v>108</v>
      </c>
      <c r="B1433" s="89" t="s">
        <v>4289</v>
      </c>
      <c r="C1433" s="88" t="s">
        <v>0</v>
      </c>
      <c r="D1433" s="89"/>
      <c r="E1433" s="91">
        <v>3495</v>
      </c>
      <c r="F1433" s="88">
        <v>3</v>
      </c>
      <c r="G1433" s="89" t="s">
        <v>4289</v>
      </c>
      <c r="H1433" s="89" t="s">
        <v>4290</v>
      </c>
      <c r="I1433" s="89" t="s">
        <v>4291</v>
      </c>
      <c r="J1433" s="89" t="s">
        <v>4292</v>
      </c>
      <c r="K1433" s="89" t="str">
        <f>"00048617"</f>
        <v>00048617</v>
      </c>
    </row>
    <row r="1434" spans="1:11" ht="42.75" x14ac:dyDescent="0.25">
      <c r="A1434" s="88">
        <v>108</v>
      </c>
      <c r="B1434" s="89" t="s">
        <v>4272</v>
      </c>
      <c r="C1434" s="88" t="s">
        <v>0</v>
      </c>
      <c r="D1434" s="89"/>
      <c r="E1434" s="91">
        <v>8099</v>
      </c>
      <c r="F1434" s="88">
        <v>3</v>
      </c>
      <c r="G1434" s="89" t="s">
        <v>4272</v>
      </c>
      <c r="H1434" s="89" t="s">
        <v>500</v>
      </c>
      <c r="I1434" s="89" t="s">
        <v>61</v>
      </c>
      <c r="J1434" s="89" t="s">
        <v>501</v>
      </c>
      <c r="K1434" s="89" t="str">
        <f>"00047235"</f>
        <v>00047235</v>
      </c>
    </row>
    <row r="1435" spans="1:11" ht="57" x14ac:dyDescent="0.25">
      <c r="A1435" s="88">
        <v>108</v>
      </c>
      <c r="B1435" s="89" t="s">
        <v>4273</v>
      </c>
      <c r="C1435" s="88" t="s">
        <v>0</v>
      </c>
      <c r="D1435" s="89"/>
      <c r="E1435" s="91">
        <v>4939</v>
      </c>
      <c r="F1435" s="88">
        <v>3</v>
      </c>
      <c r="G1435" s="89" t="s">
        <v>4273</v>
      </c>
      <c r="H1435" s="89" t="s">
        <v>323</v>
      </c>
      <c r="I1435" s="89" t="s">
        <v>66</v>
      </c>
      <c r="J1435" s="89" t="s">
        <v>492</v>
      </c>
      <c r="K1435" s="89" t="str">
        <f>"00047236"</f>
        <v>00047236</v>
      </c>
    </row>
    <row r="1436" spans="1:11" ht="28.5" x14ac:dyDescent="0.25">
      <c r="A1436" s="88">
        <v>108</v>
      </c>
      <c r="B1436" s="89" t="s">
        <v>26</v>
      </c>
      <c r="C1436" s="88" t="s">
        <v>0</v>
      </c>
      <c r="D1436" s="94">
        <v>14394</v>
      </c>
      <c r="E1436" s="28"/>
      <c r="F1436" s="88">
        <v>7</v>
      </c>
      <c r="G1436" s="89" t="s">
        <v>28</v>
      </c>
      <c r="H1436" s="89"/>
      <c r="I1436" s="89" t="s">
        <v>14</v>
      </c>
      <c r="J1436" s="89"/>
      <c r="K1436" s="89" t="str">
        <f>"　"</f>
        <v>　</v>
      </c>
    </row>
    <row r="1437" spans="1:11" ht="42.75" x14ac:dyDescent="0.25">
      <c r="A1437" s="88">
        <v>108</v>
      </c>
      <c r="B1437" s="89" t="s">
        <v>5737</v>
      </c>
      <c r="C1437" s="88" t="s">
        <v>0</v>
      </c>
      <c r="D1437" s="89"/>
      <c r="E1437" s="91">
        <v>8205</v>
      </c>
      <c r="F1437" s="88">
        <v>3</v>
      </c>
      <c r="G1437" s="89" t="s">
        <v>4198</v>
      </c>
      <c r="H1437" s="89" t="s">
        <v>4199</v>
      </c>
      <c r="I1437" s="89" t="s">
        <v>80</v>
      </c>
      <c r="J1437" s="89" t="s">
        <v>80</v>
      </c>
      <c r="K1437" s="89" t="str">
        <f>"00049845"</f>
        <v>00049845</v>
      </c>
    </row>
    <row r="1438" spans="1:11" ht="114" x14ac:dyDescent="0.25">
      <c r="A1438" s="88">
        <v>108</v>
      </c>
      <c r="B1438" s="89" t="s">
        <v>5738</v>
      </c>
      <c r="C1438" s="88" t="s">
        <v>0</v>
      </c>
      <c r="D1438" s="89"/>
      <c r="E1438" s="91">
        <v>17712</v>
      </c>
      <c r="F1438" s="88">
        <v>3</v>
      </c>
      <c r="G1438" s="89" t="s">
        <v>2606</v>
      </c>
      <c r="H1438" s="89" t="s">
        <v>2607</v>
      </c>
      <c r="I1438" s="89" t="s">
        <v>32</v>
      </c>
      <c r="J1438" s="89" t="s">
        <v>2608</v>
      </c>
      <c r="K1438" s="89" t="str">
        <f>"00049120"</f>
        <v>00049120</v>
      </c>
    </row>
    <row r="1439" spans="1:11" ht="114" x14ac:dyDescent="0.25">
      <c r="A1439" s="88">
        <v>108</v>
      </c>
      <c r="B1439" s="89" t="s">
        <v>5739</v>
      </c>
      <c r="C1439" s="88" t="s">
        <v>0</v>
      </c>
      <c r="D1439" s="89"/>
      <c r="E1439" s="91">
        <v>63763</v>
      </c>
      <c r="F1439" s="88">
        <v>3</v>
      </c>
      <c r="G1439" s="89" t="s">
        <v>2509</v>
      </c>
      <c r="H1439" s="89" t="s">
        <v>2510</v>
      </c>
      <c r="I1439" s="89" t="s">
        <v>32</v>
      </c>
      <c r="J1439" s="89" t="s">
        <v>2511</v>
      </c>
      <c r="K1439" s="89" t="str">
        <f>"00048476"</f>
        <v>00048476</v>
      </c>
    </row>
    <row r="1440" spans="1:11" ht="42.75" x14ac:dyDescent="0.25">
      <c r="A1440" s="88">
        <v>108</v>
      </c>
      <c r="B1440" s="89" t="s">
        <v>5740</v>
      </c>
      <c r="C1440" s="88" t="s">
        <v>0</v>
      </c>
      <c r="D1440" s="89"/>
      <c r="E1440" s="91">
        <v>10832</v>
      </c>
      <c r="F1440" s="88">
        <v>3</v>
      </c>
      <c r="G1440" s="89" t="s">
        <v>4218</v>
      </c>
      <c r="H1440" s="89" t="s">
        <v>4219</v>
      </c>
      <c r="I1440" s="89" t="s">
        <v>237</v>
      </c>
      <c r="J1440" s="89" t="s">
        <v>338</v>
      </c>
      <c r="K1440" s="89" t="str">
        <f>"00052558"</f>
        <v>00052558</v>
      </c>
    </row>
    <row r="1441" spans="1:11" ht="57" x14ac:dyDescent="0.25">
      <c r="A1441" s="83">
        <v>108</v>
      </c>
      <c r="B1441" s="84" t="s">
        <v>5424</v>
      </c>
      <c r="C1441" s="83" t="s">
        <v>0</v>
      </c>
      <c r="D1441" s="84"/>
      <c r="E1441" s="85">
        <v>59837</v>
      </c>
      <c r="F1441" s="83">
        <v>3</v>
      </c>
      <c r="G1441" s="84" t="s">
        <v>5425</v>
      </c>
      <c r="H1441" s="84" t="s">
        <v>5426</v>
      </c>
      <c r="I1441" s="84" t="s">
        <v>32</v>
      </c>
      <c r="J1441" s="84" t="s">
        <v>2709</v>
      </c>
      <c r="K1441" s="84" t="str">
        <f>"00049985"</f>
        <v>00049985</v>
      </c>
    </row>
    <row r="1442" spans="1:11" ht="42.75" x14ac:dyDescent="0.25">
      <c r="A1442" s="88">
        <v>108</v>
      </c>
      <c r="B1442" s="89" t="s">
        <v>4270</v>
      </c>
      <c r="C1442" s="88" t="s">
        <v>0</v>
      </c>
      <c r="D1442" s="89"/>
      <c r="E1442" s="91">
        <v>61860</v>
      </c>
      <c r="F1442" s="88">
        <v>3</v>
      </c>
      <c r="G1442" s="89" t="s">
        <v>4271</v>
      </c>
      <c r="H1442" s="89" t="s">
        <v>282</v>
      </c>
      <c r="I1442" s="89" t="s">
        <v>66</v>
      </c>
      <c r="J1442" s="89" t="s">
        <v>125</v>
      </c>
      <c r="K1442" s="89" t="str">
        <f>"00047676"</f>
        <v>00047676</v>
      </c>
    </row>
    <row r="1443" spans="1:11" ht="99.75" x14ac:dyDescent="0.25">
      <c r="A1443" s="88">
        <v>108</v>
      </c>
      <c r="B1443" s="89" t="s">
        <v>4283</v>
      </c>
      <c r="C1443" s="88" t="s">
        <v>0</v>
      </c>
      <c r="D1443" s="89"/>
      <c r="E1443" s="91">
        <v>15001</v>
      </c>
      <c r="F1443" s="88">
        <v>3</v>
      </c>
      <c r="G1443" s="89" t="s">
        <v>4284</v>
      </c>
      <c r="H1443" s="89" t="s">
        <v>4285</v>
      </c>
      <c r="I1443" s="89" t="s">
        <v>763</v>
      </c>
      <c r="J1443" s="89" t="s">
        <v>4286</v>
      </c>
      <c r="K1443" s="89" t="str">
        <f>"00048596"</f>
        <v>00048596</v>
      </c>
    </row>
    <row r="1444" spans="1:11" ht="99.75" x14ac:dyDescent="0.25">
      <c r="A1444" s="88">
        <v>108</v>
      </c>
      <c r="B1444" s="89" t="s">
        <v>4204</v>
      </c>
      <c r="C1444" s="88" t="s">
        <v>0</v>
      </c>
      <c r="D1444" s="89"/>
      <c r="E1444" s="91">
        <v>98621</v>
      </c>
      <c r="F1444" s="88">
        <v>3</v>
      </c>
      <c r="G1444" s="89" t="s">
        <v>4204</v>
      </c>
      <c r="H1444" s="89" t="s">
        <v>4205</v>
      </c>
      <c r="I1444" s="89" t="s">
        <v>32</v>
      </c>
      <c r="J1444" s="89" t="s">
        <v>2313</v>
      </c>
      <c r="K1444" s="89" t="str">
        <f>"00048838"</f>
        <v>00048838</v>
      </c>
    </row>
    <row r="1445" spans="1:11" ht="71.25" x14ac:dyDescent="0.25">
      <c r="A1445" s="88">
        <v>108</v>
      </c>
      <c r="B1445" s="89" t="s">
        <v>4223</v>
      </c>
      <c r="C1445" s="88" t="s">
        <v>0</v>
      </c>
      <c r="D1445" s="89"/>
      <c r="E1445" s="91">
        <v>35500</v>
      </c>
      <c r="F1445" s="88">
        <v>3</v>
      </c>
      <c r="G1445" s="89" t="s">
        <v>4224</v>
      </c>
      <c r="H1445" s="89" t="s">
        <v>3762</v>
      </c>
      <c r="I1445" s="89" t="s">
        <v>32</v>
      </c>
      <c r="J1445" s="89" t="s">
        <v>423</v>
      </c>
      <c r="K1445" s="89" t="str">
        <f>"00048738"</f>
        <v>00048738</v>
      </c>
    </row>
    <row r="1446" spans="1:11" ht="171" x14ac:dyDescent="0.25">
      <c r="A1446" s="88">
        <v>108</v>
      </c>
      <c r="B1446" s="89" t="s">
        <v>4200</v>
      </c>
      <c r="C1446" s="88" t="s">
        <v>0</v>
      </c>
      <c r="D1446" s="89"/>
      <c r="E1446" s="91">
        <v>109360</v>
      </c>
      <c r="F1446" s="88">
        <v>3</v>
      </c>
      <c r="G1446" s="89" t="s">
        <v>4201</v>
      </c>
      <c r="H1446" s="89" t="s">
        <v>4202</v>
      </c>
      <c r="I1446" s="89" t="s">
        <v>1878</v>
      </c>
      <c r="J1446" s="89" t="s">
        <v>4203</v>
      </c>
      <c r="K1446" s="89" t="str">
        <f>"00050091"</f>
        <v>00050091</v>
      </c>
    </row>
    <row r="1447" spans="1:11" ht="114" x14ac:dyDescent="0.25">
      <c r="A1447" s="88">
        <v>108</v>
      </c>
      <c r="B1447" s="89" t="s">
        <v>4267</v>
      </c>
      <c r="C1447" s="88" t="s">
        <v>0</v>
      </c>
      <c r="D1447" s="89"/>
      <c r="E1447" s="91">
        <v>65142</v>
      </c>
      <c r="F1447" s="88">
        <v>3</v>
      </c>
      <c r="G1447" s="89" t="s">
        <v>4268</v>
      </c>
      <c r="H1447" s="89" t="s">
        <v>4269</v>
      </c>
      <c r="I1447" s="89" t="s">
        <v>32</v>
      </c>
      <c r="J1447" s="89" t="s">
        <v>44</v>
      </c>
      <c r="K1447" s="89" t="str">
        <f>"00046855"</f>
        <v>00046855</v>
      </c>
    </row>
    <row r="1448" spans="1:11" ht="57" x14ac:dyDescent="0.25">
      <c r="A1448" s="88">
        <v>108</v>
      </c>
      <c r="B1448" s="89" t="s">
        <v>4265</v>
      </c>
      <c r="C1448" s="88" t="s">
        <v>0</v>
      </c>
      <c r="D1448" s="89"/>
      <c r="E1448" s="91">
        <v>53291</v>
      </c>
      <c r="F1448" s="88">
        <v>3</v>
      </c>
      <c r="G1448" s="89" t="s">
        <v>4266</v>
      </c>
      <c r="H1448" s="89" t="s">
        <v>102</v>
      </c>
      <c r="I1448" s="89" t="s">
        <v>152</v>
      </c>
      <c r="J1448" s="89" t="s">
        <v>1020</v>
      </c>
      <c r="K1448" s="89" t="s">
        <v>6596</v>
      </c>
    </row>
    <row r="1449" spans="1:11" ht="57" x14ac:dyDescent="0.25">
      <c r="A1449" s="88">
        <v>108</v>
      </c>
      <c r="B1449" s="89" t="s">
        <v>4164</v>
      </c>
      <c r="C1449" s="88" t="s">
        <v>0</v>
      </c>
      <c r="D1449" s="89"/>
      <c r="E1449" s="91">
        <v>42587</v>
      </c>
      <c r="F1449" s="88">
        <v>3</v>
      </c>
      <c r="G1449" s="89" t="s">
        <v>4165</v>
      </c>
      <c r="H1449" s="89" t="s">
        <v>4166</v>
      </c>
      <c r="I1449" s="89" t="s">
        <v>66</v>
      </c>
      <c r="J1449" s="89" t="s">
        <v>125</v>
      </c>
      <c r="K1449" s="89" t="str">
        <f>"00050886"</f>
        <v>00050886</v>
      </c>
    </row>
    <row r="1450" spans="1:11" ht="128.25" x14ac:dyDescent="0.25">
      <c r="A1450" s="88">
        <v>108</v>
      </c>
      <c r="B1450" s="89" t="s">
        <v>4213</v>
      </c>
      <c r="C1450" s="88" t="s">
        <v>0</v>
      </c>
      <c r="D1450" s="89"/>
      <c r="E1450" s="91">
        <v>239739</v>
      </c>
      <c r="F1450" s="88">
        <v>3</v>
      </c>
      <c r="G1450" s="89" t="s">
        <v>4213</v>
      </c>
      <c r="H1450" s="89" t="s">
        <v>4214</v>
      </c>
      <c r="I1450" s="89" t="s">
        <v>4215</v>
      </c>
      <c r="J1450" s="89" t="s">
        <v>4216</v>
      </c>
      <c r="K1450" s="89" t="str">
        <f>"00050667"</f>
        <v>00050667</v>
      </c>
    </row>
    <row r="1451" spans="1:11" ht="28.5" x14ac:dyDescent="0.25">
      <c r="A1451" s="40">
        <v>108</v>
      </c>
      <c r="B1451" s="41" t="s">
        <v>12</v>
      </c>
      <c r="C1451" s="40" t="s">
        <v>0</v>
      </c>
      <c r="D1451" s="44">
        <v>348000</v>
      </c>
      <c r="E1451" s="57"/>
      <c r="F1451" s="40">
        <v>3</v>
      </c>
      <c r="G1451" s="41" t="s">
        <v>825</v>
      </c>
      <c r="H1451" s="41"/>
      <c r="I1451" s="41" t="s">
        <v>14</v>
      </c>
      <c r="J1451" s="41"/>
      <c r="K1451" s="89" t="str">
        <f>"　"</f>
        <v>　</v>
      </c>
    </row>
    <row r="1452" spans="1:11" ht="57" x14ac:dyDescent="0.25">
      <c r="A1452" s="40">
        <v>108</v>
      </c>
      <c r="B1452" s="41" t="s">
        <v>12</v>
      </c>
      <c r="C1452" s="40" t="s">
        <v>0</v>
      </c>
      <c r="D1452" s="41"/>
      <c r="E1452" s="42">
        <v>75575</v>
      </c>
      <c r="F1452" s="40">
        <v>3</v>
      </c>
      <c r="G1452" s="41" t="s">
        <v>853</v>
      </c>
      <c r="H1452" s="41" t="s">
        <v>854</v>
      </c>
      <c r="I1452" s="41" t="s">
        <v>237</v>
      </c>
      <c r="J1452" s="41" t="s">
        <v>855</v>
      </c>
      <c r="K1452" s="89" t="str">
        <f>"00047000"</f>
        <v>00047000</v>
      </c>
    </row>
    <row r="1453" spans="1:11" ht="114" x14ac:dyDescent="0.25">
      <c r="A1453" s="40">
        <v>108</v>
      </c>
      <c r="B1453" s="41" t="s">
        <v>12</v>
      </c>
      <c r="C1453" s="40" t="s">
        <v>0</v>
      </c>
      <c r="D1453" s="41"/>
      <c r="E1453" s="42">
        <v>104975</v>
      </c>
      <c r="F1453" s="40">
        <v>3</v>
      </c>
      <c r="G1453" s="41" t="s">
        <v>856</v>
      </c>
      <c r="H1453" s="41" t="s">
        <v>857</v>
      </c>
      <c r="I1453" s="41" t="s">
        <v>237</v>
      </c>
      <c r="J1453" s="41" t="s">
        <v>855</v>
      </c>
      <c r="K1453" s="89" t="str">
        <f>"00046971"</f>
        <v>00046971</v>
      </c>
    </row>
    <row r="1454" spans="1:11" ht="114" x14ac:dyDescent="0.25">
      <c r="A1454" s="40">
        <v>108</v>
      </c>
      <c r="B1454" s="41" t="s">
        <v>12</v>
      </c>
      <c r="C1454" s="40" t="s">
        <v>0</v>
      </c>
      <c r="D1454" s="41"/>
      <c r="E1454" s="42">
        <v>75438</v>
      </c>
      <c r="F1454" s="40">
        <v>3</v>
      </c>
      <c r="G1454" s="41" t="s">
        <v>3306</v>
      </c>
      <c r="H1454" s="41" t="s">
        <v>3307</v>
      </c>
      <c r="I1454" s="41" t="s">
        <v>237</v>
      </c>
      <c r="J1454" s="41" t="s">
        <v>855</v>
      </c>
      <c r="K1454" s="89" t="str">
        <f>"00052818"</f>
        <v>00052818</v>
      </c>
    </row>
    <row r="1455" spans="1:11" ht="85.5" x14ac:dyDescent="0.25">
      <c r="A1455" s="40">
        <v>108</v>
      </c>
      <c r="B1455" s="41" t="s">
        <v>12</v>
      </c>
      <c r="C1455" s="40" t="s">
        <v>0</v>
      </c>
      <c r="D1455" s="41"/>
      <c r="E1455" s="42">
        <v>349611</v>
      </c>
      <c r="F1455" s="40">
        <v>3</v>
      </c>
      <c r="G1455" s="41" t="s">
        <v>3308</v>
      </c>
      <c r="H1455" s="41" t="s">
        <v>3235</v>
      </c>
      <c r="I1455" s="41" t="s">
        <v>3236</v>
      </c>
      <c r="J1455" s="41" t="s">
        <v>3237</v>
      </c>
      <c r="K1455" s="89" t="str">
        <f>"00049484"</f>
        <v>00049484</v>
      </c>
    </row>
    <row r="1456" spans="1:11" ht="128.25" x14ac:dyDescent="0.25">
      <c r="A1456" s="40">
        <v>108</v>
      </c>
      <c r="B1456" s="41" t="s">
        <v>5450</v>
      </c>
      <c r="C1456" s="40" t="s">
        <v>0</v>
      </c>
      <c r="D1456" s="41"/>
      <c r="E1456" s="42">
        <v>75838</v>
      </c>
      <c r="F1456" s="40">
        <v>3</v>
      </c>
      <c r="G1456" s="41" t="s">
        <v>5450</v>
      </c>
      <c r="H1456" s="41" t="s">
        <v>5451</v>
      </c>
      <c r="I1456" s="41" t="s">
        <v>237</v>
      </c>
      <c r="J1456" s="41" t="s">
        <v>855</v>
      </c>
      <c r="K1456" s="89" t="s">
        <v>6040</v>
      </c>
    </row>
    <row r="1457" spans="1:11" ht="99.75" x14ac:dyDescent="0.25">
      <c r="A1457" s="40">
        <v>108</v>
      </c>
      <c r="B1457" s="41" t="s">
        <v>4225</v>
      </c>
      <c r="C1457" s="40" t="s">
        <v>0</v>
      </c>
      <c r="D1457" s="41"/>
      <c r="E1457" s="42">
        <v>8808</v>
      </c>
      <c r="F1457" s="40">
        <v>3</v>
      </c>
      <c r="G1457" s="41" t="s">
        <v>4225</v>
      </c>
      <c r="H1457" s="41" t="s">
        <v>4226</v>
      </c>
      <c r="I1457" s="41" t="s">
        <v>66</v>
      </c>
      <c r="J1457" s="41" t="s">
        <v>99</v>
      </c>
      <c r="K1457" s="89" t="s">
        <v>6039</v>
      </c>
    </row>
    <row r="1458" spans="1:11" ht="128.25" x14ac:dyDescent="0.25">
      <c r="A1458" s="40">
        <v>108</v>
      </c>
      <c r="B1458" s="41" t="s">
        <v>4220</v>
      </c>
      <c r="C1458" s="40" t="s">
        <v>0</v>
      </c>
      <c r="D1458" s="41"/>
      <c r="E1458" s="42">
        <v>70680</v>
      </c>
      <c r="F1458" s="40">
        <v>3</v>
      </c>
      <c r="G1458" s="41" t="s">
        <v>4220</v>
      </c>
      <c r="H1458" s="41" t="s">
        <v>4221</v>
      </c>
      <c r="I1458" s="41" t="s">
        <v>32</v>
      </c>
      <c r="J1458" s="41" t="s">
        <v>4222</v>
      </c>
      <c r="K1458" s="89" t="s">
        <v>6595</v>
      </c>
    </row>
    <row r="1459" spans="1:11" ht="57" x14ac:dyDescent="0.25">
      <c r="A1459" s="40">
        <v>108</v>
      </c>
      <c r="B1459" s="41" t="s">
        <v>4274</v>
      </c>
      <c r="C1459" s="40" t="s">
        <v>0</v>
      </c>
      <c r="D1459" s="41"/>
      <c r="E1459" s="42">
        <v>77075</v>
      </c>
      <c r="F1459" s="40">
        <v>3</v>
      </c>
      <c r="G1459" s="41" t="s">
        <v>853</v>
      </c>
      <c r="H1459" s="41" t="s">
        <v>4275</v>
      </c>
      <c r="I1459" s="41" t="s">
        <v>237</v>
      </c>
      <c r="J1459" s="41" t="s">
        <v>855</v>
      </c>
      <c r="K1459" s="89" t="str">
        <f>"00046982"</f>
        <v>00046982</v>
      </c>
    </row>
    <row r="1460" spans="1:11" ht="28.5" x14ac:dyDescent="0.25">
      <c r="A1460" s="88">
        <v>108</v>
      </c>
      <c r="B1460" s="89" t="s">
        <v>12</v>
      </c>
      <c r="C1460" s="88" t="s">
        <v>0</v>
      </c>
      <c r="D1460" s="94">
        <v>41387</v>
      </c>
      <c r="E1460" s="28"/>
      <c r="F1460" s="88">
        <v>3</v>
      </c>
      <c r="G1460" s="89" t="s">
        <v>858</v>
      </c>
      <c r="H1460" s="89"/>
      <c r="I1460" s="89" t="s">
        <v>14</v>
      </c>
      <c r="J1460" s="89"/>
      <c r="K1460" s="89" t="str">
        <f>"　"</f>
        <v>　</v>
      </c>
    </row>
    <row r="1461" spans="1:11" ht="42.75" x14ac:dyDescent="0.25">
      <c r="A1461" s="88">
        <v>108</v>
      </c>
      <c r="B1461" s="89" t="s">
        <v>12</v>
      </c>
      <c r="C1461" s="88" t="s">
        <v>0</v>
      </c>
      <c r="D1461" s="89"/>
      <c r="E1461" s="91">
        <v>35753</v>
      </c>
      <c r="F1461" s="88">
        <v>3</v>
      </c>
      <c r="G1461" s="89" t="s">
        <v>3309</v>
      </c>
      <c r="H1461" s="89" t="s">
        <v>3310</v>
      </c>
      <c r="I1461" s="89" t="s">
        <v>32</v>
      </c>
      <c r="J1461" s="89" t="s">
        <v>2313</v>
      </c>
      <c r="K1461" s="89" t="str">
        <f>"00053241"</f>
        <v>00053241</v>
      </c>
    </row>
    <row r="1462" spans="1:11" ht="28.5" x14ac:dyDescent="0.25">
      <c r="A1462" s="88">
        <v>108</v>
      </c>
      <c r="B1462" s="89" t="s">
        <v>12</v>
      </c>
      <c r="C1462" s="88" t="s">
        <v>0</v>
      </c>
      <c r="D1462" s="94">
        <v>36541</v>
      </c>
      <c r="E1462" s="28"/>
      <c r="F1462" s="88">
        <v>3</v>
      </c>
      <c r="G1462" s="89" t="s">
        <v>858</v>
      </c>
      <c r="H1462" s="89"/>
      <c r="I1462" s="89" t="s">
        <v>14</v>
      </c>
      <c r="J1462" s="89"/>
      <c r="K1462" s="89" t="str">
        <f>"　"</f>
        <v>　</v>
      </c>
    </row>
    <row r="1463" spans="1:11" ht="42.75" x14ac:dyDescent="0.25">
      <c r="A1463" s="88">
        <v>108</v>
      </c>
      <c r="B1463" s="89" t="s">
        <v>12</v>
      </c>
      <c r="C1463" s="88" t="s">
        <v>0</v>
      </c>
      <c r="D1463" s="89"/>
      <c r="E1463" s="91">
        <v>36541</v>
      </c>
      <c r="F1463" s="88">
        <v>3</v>
      </c>
      <c r="G1463" s="89" t="s">
        <v>3311</v>
      </c>
      <c r="H1463" s="89" t="s">
        <v>3312</v>
      </c>
      <c r="I1463" s="89" t="s">
        <v>32</v>
      </c>
      <c r="J1463" s="89" t="s">
        <v>2313</v>
      </c>
      <c r="K1463" s="89" t="str">
        <f>"00052775"</f>
        <v>00052775</v>
      </c>
    </row>
    <row r="1464" spans="1:11" ht="28.5" x14ac:dyDescent="0.25">
      <c r="A1464" s="88">
        <v>108</v>
      </c>
      <c r="B1464" s="89" t="s">
        <v>26</v>
      </c>
      <c r="C1464" s="88" t="s">
        <v>0</v>
      </c>
      <c r="D1464" s="94">
        <v>654000</v>
      </c>
      <c r="E1464" s="28"/>
      <c r="F1464" s="88">
        <v>3</v>
      </c>
      <c r="G1464" s="89" t="s">
        <v>29</v>
      </c>
      <c r="H1464" s="89"/>
      <c r="I1464" s="89" t="s">
        <v>14</v>
      </c>
      <c r="J1464" s="89"/>
      <c r="K1464" s="89" t="str">
        <f>"　"</f>
        <v>　</v>
      </c>
    </row>
    <row r="1465" spans="1:11" ht="85.5" x14ac:dyDescent="0.25">
      <c r="A1465" s="88">
        <v>108</v>
      </c>
      <c r="B1465" s="89" t="s">
        <v>26</v>
      </c>
      <c r="C1465" s="88" t="s">
        <v>0</v>
      </c>
      <c r="D1465" s="89"/>
      <c r="E1465" s="91">
        <v>54417</v>
      </c>
      <c r="F1465" s="88">
        <v>3</v>
      </c>
      <c r="G1465" s="89" t="s">
        <v>863</v>
      </c>
      <c r="H1465" s="89" t="s">
        <v>864</v>
      </c>
      <c r="I1465" s="89" t="s">
        <v>66</v>
      </c>
      <c r="J1465" s="89" t="s">
        <v>609</v>
      </c>
      <c r="K1465" s="89" t="str">
        <f>"00047957"</f>
        <v>00047957</v>
      </c>
    </row>
    <row r="1466" spans="1:11" ht="28.5" x14ac:dyDescent="0.25">
      <c r="A1466" s="88">
        <v>108</v>
      </c>
      <c r="B1466" s="89" t="s">
        <v>26</v>
      </c>
      <c r="C1466" s="88" t="s">
        <v>0</v>
      </c>
      <c r="D1466" s="94">
        <v>502000</v>
      </c>
      <c r="E1466" s="28"/>
      <c r="F1466" s="88">
        <v>3</v>
      </c>
      <c r="G1466" s="89" t="s">
        <v>29</v>
      </c>
      <c r="H1466" s="89"/>
      <c r="I1466" s="89" t="s">
        <v>14</v>
      </c>
      <c r="J1466" s="89"/>
      <c r="K1466" s="89" t="str">
        <f>"　"</f>
        <v>　</v>
      </c>
    </row>
    <row r="1467" spans="1:11" ht="28.5" x14ac:dyDescent="0.25">
      <c r="A1467" s="88">
        <v>108</v>
      </c>
      <c r="B1467" s="89" t="s">
        <v>26</v>
      </c>
      <c r="C1467" s="88" t="s">
        <v>0</v>
      </c>
      <c r="D1467" s="94">
        <v>308000</v>
      </c>
      <c r="E1467" s="28"/>
      <c r="F1467" s="88">
        <v>3</v>
      </c>
      <c r="G1467" s="89" t="s">
        <v>29</v>
      </c>
      <c r="H1467" s="89"/>
      <c r="I1467" s="89" t="s">
        <v>14</v>
      </c>
      <c r="J1467" s="89"/>
      <c r="K1467" s="89" t="str">
        <f>"　"</f>
        <v>　</v>
      </c>
    </row>
    <row r="1468" spans="1:11" ht="28.5" x14ac:dyDescent="0.25">
      <c r="A1468" s="88">
        <v>108</v>
      </c>
      <c r="B1468" s="89" t="s">
        <v>26</v>
      </c>
      <c r="C1468" s="88" t="s">
        <v>0</v>
      </c>
      <c r="D1468" s="94">
        <v>532000</v>
      </c>
      <c r="E1468" s="28"/>
      <c r="F1468" s="88">
        <v>3</v>
      </c>
      <c r="G1468" s="89" t="s">
        <v>29</v>
      </c>
      <c r="H1468" s="89"/>
      <c r="I1468" s="89" t="s">
        <v>14</v>
      </c>
      <c r="J1468" s="89"/>
      <c r="K1468" s="89" t="str">
        <f>"　"</f>
        <v>　</v>
      </c>
    </row>
    <row r="1469" spans="1:11" x14ac:dyDescent="0.25">
      <c r="A1469" s="88">
        <v>108</v>
      </c>
      <c r="B1469" s="89" t="s">
        <v>26</v>
      </c>
      <c r="C1469" s="88" t="s">
        <v>0</v>
      </c>
      <c r="D1469" s="94">
        <v>250000</v>
      </c>
      <c r="E1469" s="28"/>
      <c r="F1469" s="88">
        <v>3</v>
      </c>
      <c r="G1469" s="89" t="s">
        <v>37</v>
      </c>
      <c r="H1469" s="89"/>
      <c r="I1469" s="89" t="s">
        <v>881</v>
      </c>
      <c r="J1469" s="89"/>
      <c r="K1469" s="89" t="str">
        <f>"　"</f>
        <v>　</v>
      </c>
    </row>
    <row r="1470" spans="1:11" x14ac:dyDescent="0.25">
      <c r="A1470" s="88">
        <v>108</v>
      </c>
      <c r="B1470" s="89" t="s">
        <v>26</v>
      </c>
      <c r="C1470" s="88" t="s">
        <v>0</v>
      </c>
      <c r="D1470" s="94">
        <v>250000</v>
      </c>
      <c r="E1470" s="28"/>
      <c r="F1470" s="88">
        <v>3</v>
      </c>
      <c r="G1470" s="89" t="s">
        <v>37</v>
      </c>
      <c r="H1470" s="89"/>
      <c r="I1470" s="89" t="s">
        <v>881</v>
      </c>
      <c r="J1470" s="89"/>
      <c r="K1470" s="89" t="str">
        <f>"　"</f>
        <v>　</v>
      </c>
    </row>
    <row r="1471" spans="1:11" ht="57" x14ac:dyDescent="0.25">
      <c r="A1471" s="88">
        <v>108</v>
      </c>
      <c r="B1471" s="89" t="s">
        <v>4163</v>
      </c>
      <c r="C1471" s="88" t="s">
        <v>0</v>
      </c>
      <c r="D1471" s="89"/>
      <c r="E1471" s="91">
        <v>75689</v>
      </c>
      <c r="F1471" s="88">
        <v>3</v>
      </c>
      <c r="G1471" s="89" t="s">
        <v>4163</v>
      </c>
      <c r="H1471" s="89" t="s">
        <v>1761</v>
      </c>
      <c r="I1471" s="89" t="s">
        <v>32</v>
      </c>
      <c r="J1471" s="89" t="s">
        <v>47</v>
      </c>
      <c r="K1471" s="89" t="str">
        <f>"00050586"</f>
        <v>00050586</v>
      </c>
    </row>
    <row r="1472" spans="1:11" ht="42.75" x14ac:dyDescent="0.25">
      <c r="A1472" s="88">
        <v>108</v>
      </c>
      <c r="B1472" s="89" t="s">
        <v>4276</v>
      </c>
      <c r="C1472" s="88" t="s">
        <v>0</v>
      </c>
      <c r="D1472" s="89"/>
      <c r="E1472" s="46">
        <v>29849</v>
      </c>
      <c r="F1472" s="88">
        <v>3</v>
      </c>
      <c r="G1472" s="89" t="s">
        <v>4277</v>
      </c>
      <c r="H1472" s="89" t="s">
        <v>4278</v>
      </c>
      <c r="I1472" s="89" t="s">
        <v>113</v>
      </c>
      <c r="J1472" s="89" t="s">
        <v>177</v>
      </c>
      <c r="K1472" s="89" t="str">
        <f>"00047228"</f>
        <v>00047228</v>
      </c>
    </row>
    <row r="1473" spans="1:11" ht="71.25" x14ac:dyDescent="0.25">
      <c r="A1473" s="88">
        <v>108</v>
      </c>
      <c r="B1473" s="89" t="s">
        <v>4257</v>
      </c>
      <c r="C1473" s="88" t="s">
        <v>0</v>
      </c>
      <c r="D1473" s="89"/>
      <c r="E1473" s="46">
        <v>88508</v>
      </c>
      <c r="F1473" s="88">
        <v>3</v>
      </c>
      <c r="G1473" s="89" t="s">
        <v>4258</v>
      </c>
      <c r="H1473" s="89" t="s">
        <v>4259</v>
      </c>
      <c r="I1473" s="89" t="s">
        <v>648</v>
      </c>
      <c r="J1473" s="89" t="s">
        <v>4260</v>
      </c>
      <c r="K1473" s="89" t="str">
        <f>"00047464"</f>
        <v>00047464</v>
      </c>
    </row>
    <row r="1474" spans="1:11" ht="85.5" x14ac:dyDescent="0.25">
      <c r="A1474" s="88">
        <v>108</v>
      </c>
      <c r="B1474" s="89" t="s">
        <v>4189</v>
      </c>
      <c r="C1474" s="88" t="s">
        <v>0</v>
      </c>
      <c r="D1474" s="89"/>
      <c r="E1474" s="46">
        <v>123063</v>
      </c>
      <c r="F1474" s="88">
        <v>3</v>
      </c>
      <c r="G1474" s="89" t="s">
        <v>4190</v>
      </c>
      <c r="H1474" s="89" t="s">
        <v>3142</v>
      </c>
      <c r="I1474" s="89" t="s">
        <v>32</v>
      </c>
      <c r="J1474" s="89" t="s">
        <v>3143</v>
      </c>
      <c r="K1474" s="89" t="str">
        <f>"00049138"</f>
        <v>00049138</v>
      </c>
    </row>
    <row r="1475" spans="1:11" ht="42.75" x14ac:dyDescent="0.25">
      <c r="A1475" s="88">
        <v>108</v>
      </c>
      <c r="B1475" s="89" t="s">
        <v>4191</v>
      </c>
      <c r="C1475" s="88" t="s">
        <v>0</v>
      </c>
      <c r="D1475" s="89"/>
      <c r="E1475" s="46">
        <v>54535</v>
      </c>
      <c r="F1475" s="88">
        <v>3</v>
      </c>
      <c r="G1475" s="89" t="s">
        <v>4192</v>
      </c>
      <c r="H1475" s="89" t="s">
        <v>4193</v>
      </c>
      <c r="I1475" s="89" t="s">
        <v>80</v>
      </c>
      <c r="J1475" s="89" t="s">
        <v>80</v>
      </c>
      <c r="K1475" s="89" t="str">
        <f>"00049924"</f>
        <v>00049924</v>
      </c>
    </row>
    <row r="1476" spans="1:11" ht="28.5" x14ac:dyDescent="0.25">
      <c r="A1476" s="83">
        <v>108</v>
      </c>
      <c r="B1476" s="84" t="s">
        <v>12</v>
      </c>
      <c r="C1476" s="83" t="s">
        <v>0</v>
      </c>
      <c r="D1476" s="29">
        <v>80000</v>
      </c>
      <c r="E1476" s="85"/>
      <c r="F1476" s="83">
        <v>3</v>
      </c>
      <c r="G1476" s="84" t="s">
        <v>858</v>
      </c>
      <c r="H1476" s="84"/>
      <c r="I1476" s="84" t="s">
        <v>14</v>
      </c>
      <c r="J1476" s="84"/>
      <c r="K1476" s="84" t="str">
        <f>"　"</f>
        <v>　</v>
      </c>
    </row>
    <row r="1477" spans="1:11" ht="57" x14ac:dyDescent="0.25">
      <c r="A1477" s="83">
        <v>108</v>
      </c>
      <c r="B1477" s="84" t="s">
        <v>12</v>
      </c>
      <c r="C1477" s="83" t="s">
        <v>0</v>
      </c>
      <c r="D1477" s="84"/>
      <c r="E1477" s="85">
        <v>80000</v>
      </c>
      <c r="F1477" s="83">
        <v>3</v>
      </c>
      <c r="G1477" s="84" t="s">
        <v>3313</v>
      </c>
      <c r="H1477" s="84" t="s">
        <v>3314</v>
      </c>
      <c r="I1477" s="84" t="s">
        <v>32</v>
      </c>
      <c r="J1477" s="84" t="s">
        <v>708</v>
      </c>
      <c r="K1477" s="84" t="str">
        <f>"00049671"</f>
        <v>00049671</v>
      </c>
    </row>
    <row r="1478" spans="1:11" x14ac:dyDescent="0.25">
      <c r="A1478" s="138" t="s">
        <v>5752</v>
      </c>
      <c r="B1478" s="138"/>
      <c r="C1478" s="138"/>
      <c r="D1478" s="138"/>
      <c r="E1478" s="115">
        <f>SUM(E1370:E1477)</f>
        <v>6311439</v>
      </c>
      <c r="F1478" s="88"/>
      <c r="G1478" s="89"/>
      <c r="H1478" s="89"/>
      <c r="I1478" s="89"/>
      <c r="J1478" s="89"/>
      <c r="K1478" s="89"/>
    </row>
    <row r="1479" spans="1:11" x14ac:dyDescent="0.25">
      <c r="A1479" s="138" t="s">
        <v>5751</v>
      </c>
      <c r="B1479" s="143"/>
      <c r="C1479" s="143"/>
      <c r="D1479" s="143"/>
      <c r="E1479" s="143"/>
      <c r="F1479" s="143"/>
      <c r="G1479" s="143"/>
      <c r="H1479" s="143"/>
      <c r="I1479" s="143"/>
      <c r="J1479" s="143"/>
      <c r="K1479" s="143"/>
    </row>
    <row r="1480" spans="1:11" ht="42.75" x14ac:dyDescent="0.25">
      <c r="A1480" s="88">
        <v>108</v>
      </c>
      <c r="B1480" s="89" t="s">
        <v>4588</v>
      </c>
      <c r="C1480" s="88" t="s">
        <v>0</v>
      </c>
      <c r="D1480" s="89"/>
      <c r="E1480" s="91">
        <v>75468</v>
      </c>
      <c r="F1480" s="88">
        <v>6</v>
      </c>
      <c r="G1480" s="89" t="s">
        <v>4588</v>
      </c>
      <c r="H1480" s="89" t="s">
        <v>4589</v>
      </c>
      <c r="I1480" s="89" t="s">
        <v>787</v>
      </c>
      <c r="J1480" s="89" t="s">
        <v>788</v>
      </c>
      <c r="K1480" s="89" t="str">
        <f>"00049915"</f>
        <v>00049915</v>
      </c>
    </row>
    <row r="1481" spans="1:11" ht="42.75" x14ac:dyDescent="0.25">
      <c r="A1481" s="88">
        <v>108</v>
      </c>
      <c r="B1481" s="89" t="s">
        <v>5610</v>
      </c>
      <c r="C1481" s="88" t="s">
        <v>2</v>
      </c>
      <c r="D1481" s="89"/>
      <c r="E1481" s="53">
        <v>-21145</v>
      </c>
      <c r="F1481" s="88">
        <v>6</v>
      </c>
      <c r="G1481" s="89" t="s">
        <v>5835</v>
      </c>
      <c r="H1481" s="89" t="s">
        <v>5836</v>
      </c>
      <c r="I1481" s="89" t="s">
        <v>5612</v>
      </c>
      <c r="J1481" s="89" t="s">
        <v>5837</v>
      </c>
      <c r="K1481" s="43" t="s">
        <v>5838</v>
      </c>
    </row>
    <row r="1482" spans="1:11" ht="57" x14ac:dyDescent="0.25">
      <c r="A1482" s="83">
        <v>108</v>
      </c>
      <c r="B1482" s="84" t="s">
        <v>12</v>
      </c>
      <c r="C1482" s="83" t="s">
        <v>0</v>
      </c>
      <c r="D1482" s="84"/>
      <c r="E1482" s="85">
        <v>84475</v>
      </c>
      <c r="F1482" s="83">
        <v>6</v>
      </c>
      <c r="G1482" s="84" t="s">
        <v>5415</v>
      </c>
      <c r="H1482" s="84" t="s">
        <v>5416</v>
      </c>
      <c r="I1482" s="84" t="s">
        <v>32</v>
      </c>
      <c r="J1482" s="84" t="s">
        <v>262</v>
      </c>
      <c r="K1482" s="84" t="str">
        <f>"00048545"</f>
        <v>00048545</v>
      </c>
    </row>
    <row r="1483" spans="1:11" ht="28.5" x14ac:dyDescent="0.25">
      <c r="A1483" s="83">
        <v>108</v>
      </c>
      <c r="B1483" s="84" t="s">
        <v>12</v>
      </c>
      <c r="C1483" s="83" t="s">
        <v>0</v>
      </c>
      <c r="D1483" s="29">
        <v>5525</v>
      </c>
      <c r="E1483" s="30"/>
      <c r="F1483" s="83">
        <v>6</v>
      </c>
      <c r="G1483" s="84" t="s">
        <v>858</v>
      </c>
      <c r="H1483" s="84"/>
      <c r="I1483" s="84" t="s">
        <v>14</v>
      </c>
      <c r="J1483" s="84"/>
      <c r="K1483" s="84" t="str">
        <f>"　"</f>
        <v>　</v>
      </c>
    </row>
    <row r="1484" spans="1:11" ht="42.75" x14ac:dyDescent="0.25">
      <c r="A1484" s="83">
        <v>108</v>
      </c>
      <c r="B1484" s="84" t="s">
        <v>12</v>
      </c>
      <c r="C1484" s="83" t="s">
        <v>0</v>
      </c>
      <c r="D1484" s="84"/>
      <c r="E1484" s="85">
        <v>5525</v>
      </c>
      <c r="F1484" s="83">
        <v>6</v>
      </c>
      <c r="G1484" s="84" t="s">
        <v>5421</v>
      </c>
      <c r="H1484" s="84" t="s">
        <v>5422</v>
      </c>
      <c r="I1484" s="84" t="s">
        <v>746</v>
      </c>
      <c r="J1484" s="84" t="s">
        <v>5423</v>
      </c>
      <c r="K1484" s="84" t="str">
        <f>"00043525"</f>
        <v>00043525</v>
      </c>
    </row>
    <row r="1485" spans="1:11" ht="28.5" x14ac:dyDescent="0.25">
      <c r="A1485" s="83">
        <v>108</v>
      </c>
      <c r="B1485" s="84" t="s">
        <v>12</v>
      </c>
      <c r="C1485" s="83" t="s">
        <v>0</v>
      </c>
      <c r="D1485" s="29">
        <v>80000</v>
      </c>
      <c r="E1485" s="30"/>
      <c r="F1485" s="83">
        <v>6</v>
      </c>
      <c r="G1485" s="84" t="s">
        <v>858</v>
      </c>
      <c r="H1485" s="84"/>
      <c r="I1485" s="84" t="s">
        <v>14</v>
      </c>
      <c r="J1485" s="84"/>
      <c r="K1485" s="84" t="str">
        <f>"　"</f>
        <v>　</v>
      </c>
    </row>
    <row r="1486" spans="1:11" ht="71.25" x14ac:dyDescent="0.25">
      <c r="A1486" s="83">
        <v>108</v>
      </c>
      <c r="B1486" s="84" t="s">
        <v>12</v>
      </c>
      <c r="C1486" s="83" t="s">
        <v>0</v>
      </c>
      <c r="D1486" s="84"/>
      <c r="E1486" s="85">
        <v>66086</v>
      </c>
      <c r="F1486" s="83">
        <v>6</v>
      </c>
      <c r="G1486" s="84" t="s">
        <v>3334</v>
      </c>
      <c r="H1486" s="84" t="s">
        <v>3196</v>
      </c>
      <c r="I1486" s="84" t="s">
        <v>66</v>
      </c>
      <c r="J1486" s="84" t="s">
        <v>1311</v>
      </c>
      <c r="K1486" s="84" t="str">
        <f>"00052584"</f>
        <v>00052584</v>
      </c>
    </row>
    <row r="1487" spans="1:11" ht="28.5" x14ac:dyDescent="0.25">
      <c r="A1487" s="83">
        <v>108</v>
      </c>
      <c r="B1487" s="84" t="s">
        <v>12</v>
      </c>
      <c r="C1487" s="83" t="s">
        <v>0</v>
      </c>
      <c r="D1487" s="29">
        <v>30000</v>
      </c>
      <c r="E1487" s="30"/>
      <c r="F1487" s="83">
        <v>6</v>
      </c>
      <c r="G1487" s="84" t="s">
        <v>858</v>
      </c>
      <c r="H1487" s="84"/>
      <c r="I1487" s="84" t="s">
        <v>14</v>
      </c>
      <c r="J1487" s="84"/>
      <c r="K1487" s="84" t="str">
        <f>"　"</f>
        <v>　</v>
      </c>
    </row>
    <row r="1488" spans="1:11" ht="128.25" x14ac:dyDescent="0.25">
      <c r="A1488" s="83">
        <v>108</v>
      </c>
      <c r="B1488" s="84" t="s">
        <v>12</v>
      </c>
      <c r="C1488" s="83" t="s">
        <v>0</v>
      </c>
      <c r="D1488" s="84"/>
      <c r="E1488" s="85">
        <v>30000</v>
      </c>
      <c r="F1488" s="83">
        <v>6</v>
      </c>
      <c r="G1488" s="84" t="s">
        <v>3332</v>
      </c>
      <c r="H1488" s="84" t="s">
        <v>3333</v>
      </c>
      <c r="I1488" s="84" t="s">
        <v>242</v>
      </c>
      <c r="J1488" s="84" t="s">
        <v>1403</v>
      </c>
      <c r="K1488" s="84" t="str">
        <f>"00047972"</f>
        <v>00047972</v>
      </c>
    </row>
    <row r="1489" spans="1:11" x14ac:dyDescent="0.25">
      <c r="A1489" s="141" t="s">
        <v>5753</v>
      </c>
      <c r="B1489" s="141"/>
      <c r="C1489" s="141"/>
      <c r="D1489" s="141"/>
      <c r="E1489" s="115">
        <f>SUM(E1480:E1488)</f>
        <v>240409</v>
      </c>
      <c r="F1489" s="88"/>
      <c r="G1489" s="89"/>
      <c r="H1489" s="89"/>
      <c r="I1489" s="89"/>
      <c r="J1489" s="89"/>
      <c r="K1489" s="89"/>
    </row>
    <row r="1490" spans="1:11" x14ac:dyDescent="0.25">
      <c r="A1490" s="138" t="s">
        <v>882</v>
      </c>
      <c r="B1490" s="138"/>
      <c r="C1490" s="92"/>
      <c r="D1490" s="116"/>
      <c r="E1490" s="117"/>
      <c r="F1490" s="92"/>
      <c r="G1490" s="11"/>
      <c r="H1490" s="11"/>
      <c r="I1490" s="11"/>
      <c r="J1490" s="11"/>
      <c r="K1490" s="11"/>
    </row>
    <row r="1491" spans="1:11" ht="28.5" x14ac:dyDescent="0.25">
      <c r="A1491" s="88">
        <v>108</v>
      </c>
      <c r="B1491" s="89" t="s">
        <v>12</v>
      </c>
      <c r="C1491" s="88" t="s">
        <v>0</v>
      </c>
      <c r="D1491" s="90">
        <v>30090000</v>
      </c>
      <c r="E1491" s="90"/>
      <c r="F1491" s="88">
        <v>7</v>
      </c>
      <c r="G1491" s="89" t="s">
        <v>52</v>
      </c>
      <c r="H1491" s="89"/>
      <c r="I1491" s="89" t="s">
        <v>921</v>
      </c>
      <c r="J1491" s="89"/>
      <c r="K1491" s="89" t="str">
        <f>"　"</f>
        <v>　</v>
      </c>
    </row>
    <row r="1492" spans="1:11" ht="42.75" x14ac:dyDescent="0.25">
      <c r="A1492" s="88">
        <v>108</v>
      </c>
      <c r="B1492" s="89" t="s">
        <v>63</v>
      </c>
      <c r="C1492" s="88" t="s">
        <v>0</v>
      </c>
      <c r="D1492" s="95"/>
      <c r="E1492" s="90">
        <v>1033</v>
      </c>
      <c r="F1492" s="88">
        <v>7</v>
      </c>
      <c r="G1492" s="89" t="s">
        <v>922</v>
      </c>
      <c r="H1492" s="89" t="s">
        <v>923</v>
      </c>
      <c r="I1492" s="89" t="s">
        <v>32</v>
      </c>
      <c r="J1492" s="89" t="s">
        <v>924</v>
      </c>
      <c r="K1492" s="89" t="str">
        <f>"00047096"</f>
        <v>00047096</v>
      </c>
    </row>
    <row r="1493" spans="1:11" ht="42.75" x14ac:dyDescent="0.25">
      <c r="A1493" s="88">
        <v>108</v>
      </c>
      <c r="B1493" s="89" t="s">
        <v>928</v>
      </c>
      <c r="C1493" s="88" t="s">
        <v>0</v>
      </c>
      <c r="D1493" s="95"/>
      <c r="E1493" s="90">
        <v>34298</v>
      </c>
      <c r="F1493" s="88">
        <v>7</v>
      </c>
      <c r="G1493" s="89" t="s">
        <v>929</v>
      </c>
      <c r="H1493" s="89" t="s">
        <v>930</v>
      </c>
      <c r="I1493" s="89" t="s">
        <v>32</v>
      </c>
      <c r="J1493" s="89" t="s">
        <v>931</v>
      </c>
      <c r="K1493" s="89" t="str">
        <f>"00047178"</f>
        <v>00047178</v>
      </c>
    </row>
    <row r="1494" spans="1:11" ht="42.75" x14ac:dyDescent="0.25">
      <c r="A1494" s="88">
        <v>108</v>
      </c>
      <c r="B1494" s="89" t="s">
        <v>73</v>
      </c>
      <c r="C1494" s="88" t="s">
        <v>0</v>
      </c>
      <c r="D1494" s="95"/>
      <c r="E1494" s="90">
        <v>13235</v>
      </c>
      <c r="F1494" s="88">
        <v>7</v>
      </c>
      <c r="G1494" s="89" t="s">
        <v>932</v>
      </c>
      <c r="H1494" s="89" t="s">
        <v>933</v>
      </c>
      <c r="I1494" s="89" t="s">
        <v>66</v>
      </c>
      <c r="J1494" s="89" t="s">
        <v>99</v>
      </c>
      <c r="K1494" s="89" t="str">
        <f>"00046983"</f>
        <v>00046983</v>
      </c>
    </row>
    <row r="1495" spans="1:11" ht="85.5" x14ac:dyDescent="0.25">
      <c r="A1495" s="88">
        <v>108</v>
      </c>
      <c r="B1495" s="89" t="s">
        <v>3440</v>
      </c>
      <c r="C1495" s="88" t="s">
        <v>0</v>
      </c>
      <c r="D1495" s="95"/>
      <c r="E1495" s="90">
        <v>156480</v>
      </c>
      <c r="F1495" s="88">
        <v>7</v>
      </c>
      <c r="G1495" s="89" t="s">
        <v>3441</v>
      </c>
      <c r="H1495" s="89" t="s">
        <v>1498</v>
      </c>
      <c r="I1495" s="89" t="s">
        <v>1499</v>
      </c>
      <c r="J1495" s="89" t="s">
        <v>1500</v>
      </c>
      <c r="K1495" s="89" t="str">
        <f>"00048797"</f>
        <v>00048797</v>
      </c>
    </row>
    <row r="1496" spans="1:11" ht="42.75" x14ac:dyDescent="0.25">
      <c r="A1496" s="88">
        <v>108</v>
      </c>
      <c r="B1496" s="89" t="s">
        <v>3459</v>
      </c>
      <c r="C1496" s="88" t="s">
        <v>0</v>
      </c>
      <c r="D1496" s="95"/>
      <c r="E1496" s="90">
        <v>49833</v>
      </c>
      <c r="F1496" s="88">
        <v>7</v>
      </c>
      <c r="G1496" s="89" t="s">
        <v>3460</v>
      </c>
      <c r="H1496" s="89" t="s">
        <v>1769</v>
      </c>
      <c r="I1496" s="89" t="s">
        <v>237</v>
      </c>
      <c r="J1496" s="89" t="s">
        <v>796</v>
      </c>
      <c r="K1496" s="89" t="str">
        <f>"00050174"</f>
        <v>00050174</v>
      </c>
    </row>
    <row r="1497" spans="1:11" ht="42.75" x14ac:dyDescent="0.25">
      <c r="A1497" s="88">
        <v>108</v>
      </c>
      <c r="B1497" s="89" t="s">
        <v>3452</v>
      </c>
      <c r="C1497" s="88" t="s">
        <v>0</v>
      </c>
      <c r="D1497" s="95"/>
      <c r="E1497" s="90">
        <v>89526</v>
      </c>
      <c r="F1497" s="88">
        <v>7</v>
      </c>
      <c r="G1497" s="89" t="s">
        <v>3453</v>
      </c>
      <c r="H1497" s="89" t="s">
        <v>3454</v>
      </c>
      <c r="I1497" s="89" t="s">
        <v>66</v>
      </c>
      <c r="J1497" s="89" t="s">
        <v>125</v>
      </c>
      <c r="K1497" s="89" t="str">
        <f>"00050771"</f>
        <v>00050771</v>
      </c>
    </row>
    <row r="1498" spans="1:11" ht="42.75" x14ac:dyDescent="0.25">
      <c r="A1498" s="88">
        <v>108</v>
      </c>
      <c r="B1498" s="89" t="s">
        <v>925</v>
      </c>
      <c r="C1498" s="88" t="s">
        <v>0</v>
      </c>
      <c r="D1498" s="95"/>
      <c r="E1498" s="90">
        <v>120000</v>
      </c>
      <c r="F1498" s="88">
        <v>7</v>
      </c>
      <c r="G1498" s="89" t="s">
        <v>926</v>
      </c>
      <c r="H1498" s="89" t="s">
        <v>927</v>
      </c>
      <c r="I1498" s="89" t="s">
        <v>66</v>
      </c>
      <c r="J1498" s="89" t="s">
        <v>125</v>
      </c>
      <c r="K1498" s="89" t="str">
        <f>"00047594"</f>
        <v>00047594</v>
      </c>
    </row>
    <row r="1499" spans="1:11" ht="42.75" x14ac:dyDescent="0.25">
      <c r="A1499" s="88">
        <v>108</v>
      </c>
      <c r="B1499" s="89" t="s">
        <v>3440</v>
      </c>
      <c r="C1499" s="88" t="s">
        <v>0</v>
      </c>
      <c r="D1499" s="95"/>
      <c r="E1499" s="90">
        <v>117840</v>
      </c>
      <c r="F1499" s="88">
        <v>7</v>
      </c>
      <c r="G1499" s="89" t="s">
        <v>3450</v>
      </c>
      <c r="H1499" s="89" t="s">
        <v>3451</v>
      </c>
      <c r="I1499" s="89" t="s">
        <v>1315</v>
      </c>
      <c r="J1499" s="89" t="s">
        <v>2891</v>
      </c>
      <c r="K1499" s="89" t="str">
        <f>"00050205"</f>
        <v>00050205</v>
      </c>
    </row>
    <row r="1500" spans="1:11" ht="42.75" x14ac:dyDescent="0.25">
      <c r="A1500" s="88">
        <v>108</v>
      </c>
      <c r="B1500" s="89" t="s">
        <v>3446</v>
      </c>
      <c r="C1500" s="88" t="s">
        <v>0</v>
      </c>
      <c r="D1500" s="95"/>
      <c r="E1500" s="90">
        <v>26655</v>
      </c>
      <c r="F1500" s="88">
        <v>7</v>
      </c>
      <c r="G1500" s="89" t="s">
        <v>3447</v>
      </c>
      <c r="H1500" s="89" t="s">
        <v>3448</v>
      </c>
      <c r="I1500" s="89" t="s">
        <v>32</v>
      </c>
      <c r="J1500" s="89" t="s">
        <v>3449</v>
      </c>
      <c r="K1500" s="89" t="str">
        <f>"00051856"</f>
        <v>00051856</v>
      </c>
    </row>
    <row r="1501" spans="1:11" ht="42.75" x14ac:dyDescent="0.25">
      <c r="A1501" s="88">
        <v>108</v>
      </c>
      <c r="B1501" s="89" t="s">
        <v>3440</v>
      </c>
      <c r="C1501" s="88" t="s">
        <v>0</v>
      </c>
      <c r="D1501" s="95"/>
      <c r="E1501" s="90">
        <v>117840</v>
      </c>
      <c r="F1501" s="88">
        <v>7</v>
      </c>
      <c r="G1501" s="89" t="s">
        <v>3450</v>
      </c>
      <c r="H1501" s="89" t="s">
        <v>3451</v>
      </c>
      <c r="I1501" s="89" t="s">
        <v>1315</v>
      </c>
      <c r="J1501" s="89" t="s">
        <v>2891</v>
      </c>
      <c r="K1501" s="89" t="str">
        <f>"00050204"</f>
        <v>00050204</v>
      </c>
    </row>
    <row r="1502" spans="1:11" ht="42.75" x14ac:dyDescent="0.25">
      <c r="A1502" s="88">
        <v>108</v>
      </c>
      <c r="B1502" s="89" t="s">
        <v>3440</v>
      </c>
      <c r="C1502" s="88" t="s">
        <v>0</v>
      </c>
      <c r="D1502" s="95"/>
      <c r="E1502" s="90">
        <v>117840</v>
      </c>
      <c r="F1502" s="88">
        <v>7</v>
      </c>
      <c r="G1502" s="89" t="s">
        <v>3450</v>
      </c>
      <c r="H1502" s="89" t="s">
        <v>3451</v>
      </c>
      <c r="I1502" s="89" t="s">
        <v>1315</v>
      </c>
      <c r="J1502" s="89" t="s">
        <v>2891</v>
      </c>
      <c r="K1502" s="89" t="str">
        <f>"00050201"</f>
        <v>00050201</v>
      </c>
    </row>
    <row r="1503" spans="1:11" ht="42.75" x14ac:dyDescent="0.25">
      <c r="A1503" s="88">
        <v>108</v>
      </c>
      <c r="B1503" s="89" t="s">
        <v>3455</v>
      </c>
      <c r="C1503" s="88" t="s">
        <v>0</v>
      </c>
      <c r="D1503" s="95"/>
      <c r="E1503" s="90">
        <v>64126</v>
      </c>
      <c r="F1503" s="88">
        <v>7</v>
      </c>
      <c r="G1503" s="89" t="s">
        <v>3456</v>
      </c>
      <c r="H1503" s="89" t="s">
        <v>3457</v>
      </c>
      <c r="I1503" s="89" t="s">
        <v>106</v>
      </c>
      <c r="J1503" s="89" t="s">
        <v>3458</v>
      </c>
      <c r="K1503" s="89" t="str">
        <f>"00051371"</f>
        <v>00051371</v>
      </c>
    </row>
    <row r="1504" spans="1:11" ht="57" x14ac:dyDescent="0.25">
      <c r="A1504" s="88">
        <v>108</v>
      </c>
      <c r="B1504" s="89" t="s">
        <v>3442</v>
      </c>
      <c r="C1504" s="88" t="s">
        <v>0</v>
      </c>
      <c r="D1504" s="95"/>
      <c r="E1504" s="90">
        <v>31651</v>
      </c>
      <c r="F1504" s="88">
        <v>7</v>
      </c>
      <c r="G1504" s="89" t="s">
        <v>3443</v>
      </c>
      <c r="H1504" s="89" t="s">
        <v>3444</v>
      </c>
      <c r="I1504" s="89" t="s">
        <v>94</v>
      </c>
      <c r="J1504" s="89" t="s">
        <v>3445</v>
      </c>
      <c r="K1504" s="89" t="str">
        <f>"00051315"</f>
        <v>00051315</v>
      </c>
    </row>
    <row r="1505" spans="1:11" ht="57" x14ac:dyDescent="0.25">
      <c r="A1505" s="88">
        <v>108</v>
      </c>
      <c r="B1505" s="89" t="s">
        <v>3465</v>
      </c>
      <c r="C1505" s="88" t="s">
        <v>0</v>
      </c>
      <c r="D1505" s="95"/>
      <c r="E1505" s="90">
        <v>86224</v>
      </c>
      <c r="F1505" s="88">
        <v>7</v>
      </c>
      <c r="G1505" s="89" t="s">
        <v>3466</v>
      </c>
      <c r="H1505" s="89" t="s">
        <v>3467</v>
      </c>
      <c r="I1505" s="89" t="s">
        <v>237</v>
      </c>
      <c r="J1505" s="89" t="s">
        <v>3468</v>
      </c>
      <c r="K1505" s="89" t="str">
        <f>"00051201"</f>
        <v>00051201</v>
      </c>
    </row>
    <row r="1506" spans="1:11" ht="57" x14ac:dyDescent="0.25">
      <c r="A1506" s="88">
        <v>108</v>
      </c>
      <c r="B1506" s="89" t="s">
        <v>3461</v>
      </c>
      <c r="C1506" s="88" t="s">
        <v>0</v>
      </c>
      <c r="D1506" s="95"/>
      <c r="E1506" s="90">
        <v>130017</v>
      </c>
      <c r="F1506" s="88">
        <v>7</v>
      </c>
      <c r="G1506" s="89" t="s">
        <v>3462</v>
      </c>
      <c r="H1506" s="89" t="s">
        <v>3463</v>
      </c>
      <c r="I1506" s="89" t="s">
        <v>237</v>
      </c>
      <c r="J1506" s="89" t="s">
        <v>3464</v>
      </c>
      <c r="K1506" s="89" t="str">
        <f>"00048517"</f>
        <v>00048517</v>
      </c>
    </row>
    <row r="1507" spans="1:11" ht="42.75" x14ac:dyDescent="0.25">
      <c r="A1507" s="88">
        <v>108</v>
      </c>
      <c r="B1507" s="89" t="s">
        <v>4689</v>
      </c>
      <c r="C1507" s="88" t="s">
        <v>0</v>
      </c>
      <c r="D1507" s="95"/>
      <c r="E1507" s="90">
        <v>31603</v>
      </c>
      <c r="F1507" s="88">
        <v>7</v>
      </c>
      <c r="G1507" s="89" t="s">
        <v>926</v>
      </c>
      <c r="H1507" s="89" t="s">
        <v>927</v>
      </c>
      <c r="I1507" s="89" t="s">
        <v>66</v>
      </c>
      <c r="J1507" s="89" t="s">
        <v>125</v>
      </c>
      <c r="K1507" s="89" t="str">
        <f>"00047594"</f>
        <v>00047594</v>
      </c>
    </row>
    <row r="1508" spans="1:11" x14ac:dyDescent="0.25">
      <c r="A1508" s="83">
        <v>108</v>
      </c>
      <c r="B1508" s="84" t="s">
        <v>883</v>
      </c>
      <c r="C1508" s="83" t="s">
        <v>0</v>
      </c>
      <c r="D1508" s="29">
        <v>44859</v>
      </c>
      <c r="E1508" s="30"/>
      <c r="F1508" s="83">
        <v>7</v>
      </c>
      <c r="G1508" s="84" t="s">
        <v>889</v>
      </c>
      <c r="H1508" s="84"/>
      <c r="I1508" s="84" t="s">
        <v>885</v>
      </c>
      <c r="J1508" s="84"/>
      <c r="K1508" s="84" t="str">
        <f>"　"</f>
        <v>　</v>
      </c>
    </row>
    <row r="1509" spans="1:11" ht="57" x14ac:dyDescent="0.25">
      <c r="A1509" s="83">
        <v>108</v>
      </c>
      <c r="B1509" s="84" t="s">
        <v>883</v>
      </c>
      <c r="C1509" s="83" t="s">
        <v>0</v>
      </c>
      <c r="D1509" s="84"/>
      <c r="E1509" s="85">
        <v>44859</v>
      </c>
      <c r="F1509" s="83">
        <v>7</v>
      </c>
      <c r="G1509" s="84" t="s">
        <v>3337</v>
      </c>
      <c r="H1509" s="84" t="s">
        <v>3338</v>
      </c>
      <c r="I1509" s="84" t="s">
        <v>173</v>
      </c>
      <c r="J1509" s="84" t="s">
        <v>427</v>
      </c>
      <c r="K1509" s="84" t="str">
        <f>"00049737"</f>
        <v>00049737</v>
      </c>
    </row>
    <row r="1510" spans="1:11" x14ac:dyDescent="0.25">
      <c r="A1510" s="83">
        <v>108</v>
      </c>
      <c r="B1510" s="84" t="s">
        <v>883</v>
      </c>
      <c r="C1510" s="83" t="s">
        <v>0</v>
      </c>
      <c r="D1510" s="29">
        <v>34010</v>
      </c>
      <c r="E1510" s="30"/>
      <c r="F1510" s="83">
        <v>7</v>
      </c>
      <c r="G1510" s="84" t="s">
        <v>889</v>
      </c>
      <c r="H1510" s="84"/>
      <c r="I1510" s="84" t="s">
        <v>885</v>
      </c>
      <c r="J1510" s="84"/>
      <c r="K1510" s="84" t="str">
        <f>"　"</f>
        <v>　</v>
      </c>
    </row>
    <row r="1511" spans="1:11" ht="57" x14ac:dyDescent="0.25">
      <c r="A1511" s="83">
        <v>108</v>
      </c>
      <c r="B1511" s="84" t="s">
        <v>883</v>
      </c>
      <c r="C1511" s="83" t="s">
        <v>0</v>
      </c>
      <c r="D1511" s="84"/>
      <c r="E1511" s="85">
        <v>34010</v>
      </c>
      <c r="F1511" s="83">
        <v>7</v>
      </c>
      <c r="G1511" s="84" t="s">
        <v>3335</v>
      </c>
      <c r="H1511" s="84" t="s">
        <v>3336</v>
      </c>
      <c r="I1511" s="84" t="s">
        <v>32</v>
      </c>
      <c r="J1511" s="84" t="s">
        <v>84</v>
      </c>
      <c r="K1511" s="84" t="str">
        <f>"00053069"</f>
        <v>00053069</v>
      </c>
    </row>
    <row r="1512" spans="1:11" ht="28.5" x14ac:dyDescent="0.25">
      <c r="A1512" s="83">
        <v>108</v>
      </c>
      <c r="B1512" s="84" t="s">
        <v>883</v>
      </c>
      <c r="C1512" s="83" t="s">
        <v>0</v>
      </c>
      <c r="D1512" s="29">
        <v>86434</v>
      </c>
      <c r="E1512" s="30"/>
      <c r="F1512" s="83">
        <v>7</v>
      </c>
      <c r="G1512" s="84" t="s">
        <v>892</v>
      </c>
      <c r="H1512" s="84"/>
      <c r="I1512" s="84" t="s">
        <v>885</v>
      </c>
      <c r="J1512" s="84"/>
      <c r="K1512" s="84" t="str">
        <f>"　"</f>
        <v>　</v>
      </c>
    </row>
    <row r="1513" spans="1:11" ht="57" x14ac:dyDescent="0.25">
      <c r="A1513" s="83">
        <v>108</v>
      </c>
      <c r="B1513" s="84" t="s">
        <v>883</v>
      </c>
      <c r="C1513" s="83" t="s">
        <v>0</v>
      </c>
      <c r="D1513" s="84"/>
      <c r="E1513" s="85">
        <v>86434</v>
      </c>
      <c r="F1513" s="83">
        <v>7</v>
      </c>
      <c r="G1513" s="84" t="s">
        <v>3418</v>
      </c>
      <c r="H1513" s="84" t="s">
        <v>3419</v>
      </c>
      <c r="I1513" s="84" t="s">
        <v>32</v>
      </c>
      <c r="J1513" s="84" t="s">
        <v>3420</v>
      </c>
      <c r="K1513" s="84" t="str">
        <f>"00046724"</f>
        <v>00046724</v>
      </c>
    </row>
    <row r="1514" spans="1:11" ht="28.5" x14ac:dyDescent="0.25">
      <c r="A1514" s="83">
        <v>108</v>
      </c>
      <c r="B1514" s="84" t="s">
        <v>12</v>
      </c>
      <c r="C1514" s="83" t="s">
        <v>0</v>
      </c>
      <c r="D1514" s="29">
        <v>500000</v>
      </c>
      <c r="E1514" s="30"/>
      <c r="F1514" s="83">
        <v>7</v>
      </c>
      <c r="G1514" s="84" t="s">
        <v>835</v>
      </c>
      <c r="H1514" s="84"/>
      <c r="I1514" s="84" t="s">
        <v>14</v>
      </c>
      <c r="J1514" s="84"/>
      <c r="K1514" s="84" t="str">
        <f>"　"</f>
        <v>　</v>
      </c>
    </row>
    <row r="1515" spans="1:11" ht="42.75" x14ac:dyDescent="0.25">
      <c r="A1515" s="83">
        <v>108</v>
      </c>
      <c r="B1515" s="84" t="s">
        <v>12</v>
      </c>
      <c r="C1515" s="83" t="s">
        <v>0</v>
      </c>
      <c r="D1515" s="84"/>
      <c r="E1515" s="85">
        <v>171213</v>
      </c>
      <c r="F1515" s="83">
        <v>7</v>
      </c>
      <c r="G1515" s="84" t="s">
        <v>3528</v>
      </c>
      <c r="H1515" s="84" t="s">
        <v>4121</v>
      </c>
      <c r="I1515" s="84" t="s">
        <v>61</v>
      </c>
      <c r="J1515" s="84" t="s">
        <v>345</v>
      </c>
      <c r="K1515" s="84" t="s">
        <v>6419</v>
      </c>
    </row>
    <row r="1516" spans="1:11" ht="28.5" x14ac:dyDescent="0.25">
      <c r="A1516" s="83">
        <v>108</v>
      </c>
      <c r="B1516" s="84" t="s">
        <v>12</v>
      </c>
      <c r="C1516" s="83" t="s">
        <v>0</v>
      </c>
      <c r="D1516" s="85">
        <v>30090000</v>
      </c>
      <c r="E1516" s="30"/>
      <c r="F1516" s="83">
        <v>7</v>
      </c>
      <c r="G1516" s="84" t="s">
        <v>52</v>
      </c>
      <c r="H1516" s="84"/>
      <c r="I1516" s="84" t="s">
        <v>921</v>
      </c>
      <c r="J1516" s="84"/>
      <c r="K1516" s="84" t="str">
        <f>"　"</f>
        <v>　</v>
      </c>
    </row>
    <row r="1517" spans="1:11" ht="42.75" x14ac:dyDescent="0.25">
      <c r="A1517" s="83">
        <v>108</v>
      </c>
      <c r="B1517" s="84" t="s">
        <v>958</v>
      </c>
      <c r="C1517" s="83" t="s">
        <v>0</v>
      </c>
      <c r="D1517" s="84"/>
      <c r="E1517" s="85">
        <v>95788</v>
      </c>
      <c r="F1517" s="83">
        <v>7</v>
      </c>
      <c r="G1517" s="84" t="s">
        <v>3520</v>
      </c>
      <c r="H1517" s="84" t="s">
        <v>3521</v>
      </c>
      <c r="I1517" s="84" t="s">
        <v>66</v>
      </c>
      <c r="J1517" s="84" t="s">
        <v>1359</v>
      </c>
      <c r="K1517" s="84" t="str">
        <f>"00050552"</f>
        <v>00050552</v>
      </c>
    </row>
    <row r="1518" spans="1:11" ht="71.25" x14ac:dyDescent="0.25">
      <c r="A1518" s="83">
        <v>108</v>
      </c>
      <c r="B1518" s="84" t="s">
        <v>3513</v>
      </c>
      <c r="C1518" s="83" t="s">
        <v>0</v>
      </c>
      <c r="D1518" s="84"/>
      <c r="E1518" s="85">
        <v>9952</v>
      </c>
      <c r="F1518" s="83">
        <v>7</v>
      </c>
      <c r="G1518" s="84" t="s">
        <v>3524</v>
      </c>
      <c r="H1518" s="84" t="s">
        <v>3525</v>
      </c>
      <c r="I1518" s="84" t="s">
        <v>3526</v>
      </c>
      <c r="J1518" s="84" t="s">
        <v>3527</v>
      </c>
      <c r="K1518" s="84" t="str">
        <f>"00050301"</f>
        <v>00050301</v>
      </c>
    </row>
    <row r="1519" spans="1:11" ht="42.75" x14ac:dyDescent="0.25">
      <c r="A1519" s="83">
        <v>108</v>
      </c>
      <c r="B1519" s="84" t="s">
        <v>1518</v>
      </c>
      <c r="C1519" s="83" t="s">
        <v>0</v>
      </c>
      <c r="D1519" s="84"/>
      <c r="E1519" s="85">
        <v>100000</v>
      </c>
      <c r="F1519" s="83">
        <v>7</v>
      </c>
      <c r="G1519" s="84" t="s">
        <v>3528</v>
      </c>
      <c r="H1519" s="84" t="s">
        <v>3529</v>
      </c>
      <c r="I1519" s="84" t="s">
        <v>61</v>
      </c>
      <c r="J1519" s="84" t="s">
        <v>345</v>
      </c>
      <c r="K1519" s="84" t="str">
        <f>"00050721"</f>
        <v>00050721</v>
      </c>
    </row>
    <row r="1520" spans="1:11" ht="42.75" x14ac:dyDescent="0.25">
      <c r="A1520" s="83">
        <v>108</v>
      </c>
      <c r="B1520" s="84" t="s">
        <v>3486</v>
      </c>
      <c r="C1520" s="83" t="s">
        <v>0</v>
      </c>
      <c r="D1520" s="84"/>
      <c r="E1520" s="85">
        <v>84377</v>
      </c>
      <c r="F1520" s="83">
        <v>7</v>
      </c>
      <c r="G1520" s="84" t="s">
        <v>3487</v>
      </c>
      <c r="H1520" s="84" t="s">
        <v>3488</v>
      </c>
      <c r="I1520" s="84" t="s">
        <v>66</v>
      </c>
      <c r="J1520" s="84" t="s">
        <v>954</v>
      </c>
      <c r="K1520" s="84" t="s">
        <v>5924</v>
      </c>
    </row>
    <row r="1521" spans="1:11" ht="42.75" x14ac:dyDescent="0.25">
      <c r="A1521" s="83">
        <v>108</v>
      </c>
      <c r="B1521" s="84" t="s">
        <v>96</v>
      </c>
      <c r="C1521" s="83" t="s">
        <v>0</v>
      </c>
      <c r="D1521" s="84"/>
      <c r="E1521" s="85">
        <v>22636</v>
      </c>
      <c r="F1521" s="83">
        <v>7</v>
      </c>
      <c r="G1521" s="84" t="s">
        <v>3475</v>
      </c>
      <c r="H1521" s="84" t="s">
        <v>3476</v>
      </c>
      <c r="I1521" s="84" t="s">
        <v>237</v>
      </c>
      <c r="J1521" s="84" t="s">
        <v>540</v>
      </c>
      <c r="K1521" s="84" t="s">
        <v>6421</v>
      </c>
    </row>
    <row r="1522" spans="1:11" ht="57" x14ac:dyDescent="0.25">
      <c r="A1522" s="83">
        <v>108</v>
      </c>
      <c r="B1522" s="84" t="s">
        <v>96</v>
      </c>
      <c r="C1522" s="83" t="s">
        <v>0</v>
      </c>
      <c r="D1522" s="84"/>
      <c r="E1522" s="85">
        <v>142385</v>
      </c>
      <c r="F1522" s="83">
        <v>7</v>
      </c>
      <c r="G1522" s="84" t="s">
        <v>3473</v>
      </c>
      <c r="H1522" s="84" t="s">
        <v>3474</v>
      </c>
      <c r="I1522" s="84" t="s">
        <v>66</v>
      </c>
      <c r="J1522" s="84" t="s">
        <v>1629</v>
      </c>
      <c r="K1522" s="84" t="s">
        <v>6420</v>
      </c>
    </row>
    <row r="1523" spans="1:11" ht="57" x14ac:dyDescent="0.25">
      <c r="A1523" s="83">
        <v>108</v>
      </c>
      <c r="B1523" s="84" t="s">
        <v>3522</v>
      </c>
      <c r="C1523" s="83" t="s">
        <v>0</v>
      </c>
      <c r="D1523" s="84"/>
      <c r="E1523" s="85">
        <v>66263</v>
      </c>
      <c r="F1523" s="83">
        <v>7</v>
      </c>
      <c r="G1523" s="84" t="s">
        <v>3523</v>
      </c>
      <c r="H1523" s="84" t="s">
        <v>1452</v>
      </c>
      <c r="I1523" s="84" t="s">
        <v>849</v>
      </c>
      <c r="J1523" s="84" t="s">
        <v>976</v>
      </c>
      <c r="K1523" s="84" t="s">
        <v>6042</v>
      </c>
    </row>
    <row r="1524" spans="1:11" ht="114" x14ac:dyDescent="0.25">
      <c r="A1524" s="83">
        <v>108</v>
      </c>
      <c r="B1524" s="84" t="s">
        <v>1604</v>
      </c>
      <c r="C1524" s="83" t="s">
        <v>0</v>
      </c>
      <c r="D1524" s="84"/>
      <c r="E1524" s="85">
        <v>127101</v>
      </c>
      <c r="F1524" s="83">
        <v>7</v>
      </c>
      <c r="G1524" s="84" t="s">
        <v>3469</v>
      </c>
      <c r="H1524" s="84" t="s">
        <v>3470</v>
      </c>
      <c r="I1524" s="84" t="s">
        <v>3471</v>
      </c>
      <c r="J1524" s="84" t="s">
        <v>3472</v>
      </c>
      <c r="K1524" s="84" t="s">
        <v>6041</v>
      </c>
    </row>
    <row r="1525" spans="1:11" ht="71.25" x14ac:dyDescent="0.25">
      <c r="A1525" s="83">
        <v>108</v>
      </c>
      <c r="B1525" s="84" t="s">
        <v>3493</v>
      </c>
      <c r="C1525" s="83" t="s">
        <v>0</v>
      </c>
      <c r="D1525" s="84"/>
      <c r="E1525" s="85">
        <v>47663</v>
      </c>
      <c r="F1525" s="83">
        <v>7</v>
      </c>
      <c r="G1525" s="84" t="s">
        <v>3494</v>
      </c>
      <c r="H1525" s="84" t="s">
        <v>3495</v>
      </c>
      <c r="I1525" s="84" t="s">
        <v>66</v>
      </c>
      <c r="J1525" s="84" t="s">
        <v>3496</v>
      </c>
      <c r="K1525" s="84" t="s">
        <v>6422</v>
      </c>
    </row>
    <row r="1526" spans="1:11" ht="42.75" x14ac:dyDescent="0.25">
      <c r="A1526" s="83">
        <v>108</v>
      </c>
      <c r="B1526" s="84" t="s">
        <v>1592</v>
      </c>
      <c r="C1526" s="83" t="s">
        <v>0</v>
      </c>
      <c r="D1526" s="84"/>
      <c r="E1526" s="85">
        <v>21140</v>
      </c>
      <c r="F1526" s="83">
        <v>7</v>
      </c>
      <c r="G1526" s="84" t="s">
        <v>3483</v>
      </c>
      <c r="H1526" s="84" t="s">
        <v>2417</v>
      </c>
      <c r="I1526" s="84" t="s">
        <v>66</v>
      </c>
      <c r="J1526" s="84" t="s">
        <v>148</v>
      </c>
      <c r="K1526" s="84" t="s">
        <v>6423</v>
      </c>
    </row>
    <row r="1527" spans="1:11" ht="42.75" x14ac:dyDescent="0.25">
      <c r="A1527" s="83">
        <v>108</v>
      </c>
      <c r="B1527" s="84" t="s">
        <v>1626</v>
      </c>
      <c r="C1527" s="83" t="s">
        <v>0</v>
      </c>
      <c r="D1527" s="84"/>
      <c r="E1527" s="85">
        <v>27475</v>
      </c>
      <c r="F1527" s="83">
        <v>7</v>
      </c>
      <c r="G1527" s="84" t="s">
        <v>3481</v>
      </c>
      <c r="H1527" s="84" t="s">
        <v>3482</v>
      </c>
      <c r="I1527" s="84" t="s">
        <v>66</v>
      </c>
      <c r="J1527" s="84" t="s">
        <v>1629</v>
      </c>
      <c r="K1527" s="84" t="str">
        <f>"00052145"</f>
        <v>00052145</v>
      </c>
    </row>
    <row r="1528" spans="1:11" ht="71.25" x14ac:dyDescent="0.25">
      <c r="A1528" s="83">
        <v>108</v>
      </c>
      <c r="B1528" s="84" t="s">
        <v>1626</v>
      </c>
      <c r="C1528" s="83" t="s">
        <v>0</v>
      </c>
      <c r="D1528" s="84"/>
      <c r="E1528" s="85">
        <v>396578</v>
      </c>
      <c r="F1528" s="83">
        <v>7</v>
      </c>
      <c r="G1528" s="84" t="s">
        <v>3484</v>
      </c>
      <c r="H1528" s="84" t="s">
        <v>3485</v>
      </c>
      <c r="I1528" s="84" t="s">
        <v>849</v>
      </c>
      <c r="J1528" s="84" t="s">
        <v>976</v>
      </c>
      <c r="K1528" s="84" t="s">
        <v>6424</v>
      </c>
    </row>
    <row r="1529" spans="1:11" ht="71.25" x14ac:dyDescent="0.25">
      <c r="A1529" s="83">
        <v>108</v>
      </c>
      <c r="B1529" s="84" t="s">
        <v>1604</v>
      </c>
      <c r="C1529" s="83" t="s">
        <v>0</v>
      </c>
      <c r="D1529" s="84"/>
      <c r="E1529" s="85">
        <v>112559</v>
      </c>
      <c r="F1529" s="83">
        <v>7</v>
      </c>
      <c r="G1529" s="84" t="s">
        <v>3479</v>
      </c>
      <c r="H1529" s="84" t="s">
        <v>3480</v>
      </c>
      <c r="I1529" s="84" t="s">
        <v>849</v>
      </c>
      <c r="J1529" s="84" t="s">
        <v>976</v>
      </c>
      <c r="K1529" s="84" t="s">
        <v>5925</v>
      </c>
    </row>
    <row r="1530" spans="1:11" ht="57" x14ac:dyDescent="0.25">
      <c r="A1530" s="83">
        <v>108</v>
      </c>
      <c r="B1530" s="84" t="s">
        <v>3492</v>
      </c>
      <c r="C1530" s="83" t="s">
        <v>0</v>
      </c>
      <c r="D1530" s="84"/>
      <c r="E1530" s="85">
        <v>42074</v>
      </c>
      <c r="F1530" s="83">
        <v>7</v>
      </c>
      <c r="G1530" s="84" t="s">
        <v>952</v>
      </c>
      <c r="H1530" s="84" t="s">
        <v>3490</v>
      </c>
      <c r="I1530" s="84" t="s">
        <v>66</v>
      </c>
      <c r="J1530" s="84" t="s">
        <v>1369</v>
      </c>
      <c r="K1530" s="84" t="s">
        <v>5926</v>
      </c>
    </row>
    <row r="1531" spans="1:11" ht="42.75" x14ac:dyDescent="0.25">
      <c r="A1531" s="83">
        <v>108</v>
      </c>
      <c r="B1531" s="84" t="s">
        <v>3486</v>
      </c>
      <c r="C1531" s="83" t="s">
        <v>0</v>
      </c>
      <c r="D1531" s="84"/>
      <c r="E1531" s="85">
        <v>47000</v>
      </c>
      <c r="F1531" s="83">
        <v>7</v>
      </c>
      <c r="G1531" s="84" t="s">
        <v>3491</v>
      </c>
      <c r="H1531" s="84" t="s">
        <v>3488</v>
      </c>
      <c r="I1531" s="84" t="s">
        <v>66</v>
      </c>
      <c r="J1531" s="84" t="s">
        <v>954</v>
      </c>
      <c r="K1531" s="84" t="s">
        <v>6425</v>
      </c>
    </row>
    <row r="1532" spans="1:11" ht="42.75" x14ac:dyDescent="0.25">
      <c r="A1532" s="83">
        <v>108</v>
      </c>
      <c r="B1532" s="84" t="s">
        <v>3486</v>
      </c>
      <c r="C1532" s="83" t="s">
        <v>0</v>
      </c>
      <c r="D1532" s="84"/>
      <c r="E1532" s="85">
        <v>41804</v>
      </c>
      <c r="F1532" s="83">
        <v>7</v>
      </c>
      <c r="G1532" s="84" t="s">
        <v>3489</v>
      </c>
      <c r="H1532" s="84" t="s">
        <v>3490</v>
      </c>
      <c r="I1532" s="84" t="s">
        <v>66</v>
      </c>
      <c r="J1532" s="84" t="s">
        <v>1369</v>
      </c>
      <c r="K1532" s="84" t="s">
        <v>6426</v>
      </c>
    </row>
    <row r="1533" spans="1:11" ht="42.75" x14ac:dyDescent="0.25">
      <c r="A1533" s="83">
        <v>108</v>
      </c>
      <c r="B1533" s="84" t="s">
        <v>3486</v>
      </c>
      <c r="C1533" s="83" t="s">
        <v>0</v>
      </c>
      <c r="D1533" s="84"/>
      <c r="E1533" s="85">
        <v>47000</v>
      </c>
      <c r="F1533" s="83">
        <v>7</v>
      </c>
      <c r="G1533" s="84" t="s">
        <v>3491</v>
      </c>
      <c r="H1533" s="84" t="s">
        <v>3488</v>
      </c>
      <c r="I1533" s="84" t="s">
        <v>66</v>
      </c>
      <c r="J1533" s="84" t="s">
        <v>1369</v>
      </c>
      <c r="K1533" s="84" t="s">
        <v>6044</v>
      </c>
    </row>
    <row r="1534" spans="1:11" ht="42.75" x14ac:dyDescent="0.25">
      <c r="A1534" s="83">
        <v>108</v>
      </c>
      <c r="B1534" s="84" t="s">
        <v>3486</v>
      </c>
      <c r="C1534" s="83" t="s">
        <v>0</v>
      </c>
      <c r="D1534" s="84"/>
      <c r="E1534" s="85">
        <v>41804</v>
      </c>
      <c r="F1534" s="83">
        <v>7</v>
      </c>
      <c r="G1534" s="84" t="s">
        <v>952</v>
      </c>
      <c r="H1534" s="84" t="s">
        <v>3490</v>
      </c>
      <c r="I1534" s="84" t="s">
        <v>66</v>
      </c>
      <c r="J1534" s="84" t="s">
        <v>954</v>
      </c>
      <c r="K1534" s="84" t="s">
        <v>6043</v>
      </c>
    </row>
    <row r="1535" spans="1:11" ht="42.75" x14ac:dyDescent="0.25">
      <c r="A1535" s="83">
        <v>108</v>
      </c>
      <c r="B1535" s="84" t="s">
        <v>3486</v>
      </c>
      <c r="C1535" s="83" t="s">
        <v>0</v>
      </c>
      <c r="D1535" s="84"/>
      <c r="E1535" s="85">
        <v>67000</v>
      </c>
      <c r="F1535" s="83">
        <v>7</v>
      </c>
      <c r="G1535" s="84" t="s">
        <v>3489</v>
      </c>
      <c r="H1535" s="84" t="s">
        <v>3488</v>
      </c>
      <c r="I1535" s="84" t="s">
        <v>66</v>
      </c>
      <c r="J1535" s="84" t="s">
        <v>954</v>
      </c>
      <c r="K1535" s="84" t="s">
        <v>6427</v>
      </c>
    </row>
    <row r="1536" spans="1:11" ht="85.5" x14ac:dyDescent="0.25">
      <c r="A1536" s="83">
        <v>108</v>
      </c>
      <c r="B1536" s="84" t="s">
        <v>966</v>
      </c>
      <c r="C1536" s="83" t="s">
        <v>0</v>
      </c>
      <c r="D1536" s="84"/>
      <c r="E1536" s="85">
        <v>116312</v>
      </c>
      <c r="F1536" s="83">
        <v>7</v>
      </c>
      <c r="G1536" s="84" t="s">
        <v>5659</v>
      </c>
      <c r="H1536" s="84" t="s">
        <v>5660</v>
      </c>
      <c r="I1536" s="84" t="s">
        <v>106</v>
      </c>
      <c r="J1536" s="84" t="s">
        <v>5661</v>
      </c>
      <c r="K1536" s="84" t="s">
        <v>6428</v>
      </c>
    </row>
    <row r="1537" spans="1:11" ht="42.75" x14ac:dyDescent="0.25">
      <c r="A1537" s="83">
        <v>108</v>
      </c>
      <c r="B1537" s="84" t="s">
        <v>3486</v>
      </c>
      <c r="C1537" s="83" t="s">
        <v>0</v>
      </c>
      <c r="D1537" s="84"/>
      <c r="E1537" s="85">
        <v>41804</v>
      </c>
      <c r="F1537" s="83">
        <v>7</v>
      </c>
      <c r="G1537" s="84" t="s">
        <v>3489</v>
      </c>
      <c r="H1537" s="84" t="s">
        <v>3490</v>
      </c>
      <c r="I1537" s="84" t="s">
        <v>66</v>
      </c>
      <c r="J1537" s="84" t="s">
        <v>1369</v>
      </c>
      <c r="K1537" s="84" t="s">
        <v>6429</v>
      </c>
    </row>
    <row r="1538" spans="1:11" ht="85.5" x14ac:dyDescent="0.25">
      <c r="A1538" s="83">
        <v>108</v>
      </c>
      <c r="B1538" s="84" t="s">
        <v>1550</v>
      </c>
      <c r="C1538" s="83" t="s">
        <v>0</v>
      </c>
      <c r="D1538" s="84"/>
      <c r="E1538" s="85">
        <v>59144</v>
      </c>
      <c r="F1538" s="83">
        <v>7</v>
      </c>
      <c r="G1538" s="84" t="s">
        <v>1551</v>
      </c>
      <c r="H1538" s="84" t="s">
        <v>1552</v>
      </c>
      <c r="I1538" s="84" t="s">
        <v>32</v>
      </c>
      <c r="J1538" s="84" t="s">
        <v>1553</v>
      </c>
      <c r="K1538" s="84" t="s">
        <v>6430</v>
      </c>
    </row>
    <row r="1539" spans="1:11" ht="71.25" x14ac:dyDescent="0.25">
      <c r="A1539" s="83">
        <v>108</v>
      </c>
      <c r="B1539" s="84" t="s">
        <v>1550</v>
      </c>
      <c r="C1539" s="83" t="s">
        <v>0</v>
      </c>
      <c r="D1539" s="84"/>
      <c r="E1539" s="85">
        <v>147840</v>
      </c>
      <c r="F1539" s="83">
        <v>7</v>
      </c>
      <c r="G1539" s="84" t="s">
        <v>5768</v>
      </c>
      <c r="H1539" s="84" t="s">
        <v>5769</v>
      </c>
      <c r="I1539" s="84" t="s">
        <v>5770</v>
      </c>
      <c r="J1539" s="84" t="s">
        <v>5771</v>
      </c>
      <c r="K1539" s="20" t="s">
        <v>6431</v>
      </c>
    </row>
    <row r="1540" spans="1:11" ht="42.75" x14ac:dyDescent="0.25">
      <c r="A1540" s="83">
        <v>108</v>
      </c>
      <c r="B1540" s="84" t="s">
        <v>3486</v>
      </c>
      <c r="C1540" s="83" t="s">
        <v>0</v>
      </c>
      <c r="D1540" s="84"/>
      <c r="E1540" s="85">
        <v>29831</v>
      </c>
      <c r="F1540" s="83">
        <v>7</v>
      </c>
      <c r="G1540" s="84" t="s">
        <v>5662</v>
      </c>
      <c r="H1540" s="84" t="s">
        <v>5663</v>
      </c>
      <c r="I1540" s="84" t="s">
        <v>80</v>
      </c>
      <c r="J1540" s="84" t="s">
        <v>80</v>
      </c>
      <c r="K1540" s="84" t="s">
        <v>5928</v>
      </c>
    </row>
    <row r="1541" spans="1:11" ht="99.75" x14ac:dyDescent="0.25">
      <c r="A1541" s="83">
        <v>108</v>
      </c>
      <c r="B1541" s="84" t="s">
        <v>1529</v>
      </c>
      <c r="C1541" s="83" t="s">
        <v>0</v>
      </c>
      <c r="D1541" s="84"/>
      <c r="E1541" s="85">
        <v>151073</v>
      </c>
      <c r="F1541" s="83">
        <v>7</v>
      </c>
      <c r="G1541" s="84" t="s">
        <v>1554</v>
      </c>
      <c r="H1541" s="84" t="s">
        <v>1555</v>
      </c>
      <c r="I1541" s="84" t="s">
        <v>1556</v>
      </c>
      <c r="J1541" s="84" t="s">
        <v>1557</v>
      </c>
      <c r="K1541" s="84" t="s">
        <v>5927</v>
      </c>
    </row>
    <row r="1542" spans="1:11" ht="71.25" x14ac:dyDescent="0.25">
      <c r="A1542" s="83">
        <v>108</v>
      </c>
      <c r="B1542" s="84" t="s">
        <v>1529</v>
      </c>
      <c r="C1542" s="83" t="s">
        <v>0</v>
      </c>
      <c r="D1542" s="84"/>
      <c r="E1542" s="85">
        <v>53711</v>
      </c>
      <c r="F1542" s="83">
        <v>7</v>
      </c>
      <c r="G1542" s="84" t="s">
        <v>5772</v>
      </c>
      <c r="H1542" s="84" t="s">
        <v>5773</v>
      </c>
      <c r="I1542" s="84" t="s">
        <v>5774</v>
      </c>
      <c r="J1542" s="84" t="s">
        <v>5775</v>
      </c>
      <c r="K1542" s="20" t="s">
        <v>6045</v>
      </c>
    </row>
    <row r="1543" spans="1:11" ht="99.75" x14ac:dyDescent="0.25">
      <c r="A1543" s="83">
        <v>108</v>
      </c>
      <c r="B1543" s="84" t="s">
        <v>1579</v>
      </c>
      <c r="C1543" s="83" t="s">
        <v>0</v>
      </c>
      <c r="D1543" s="84"/>
      <c r="E1543" s="85">
        <v>71906</v>
      </c>
      <c r="F1543" s="83">
        <v>7</v>
      </c>
      <c r="G1543" s="84" t="s">
        <v>3477</v>
      </c>
      <c r="H1543" s="84" t="s">
        <v>3478</v>
      </c>
      <c r="I1543" s="84" t="s">
        <v>32</v>
      </c>
      <c r="J1543" s="84" t="s">
        <v>262</v>
      </c>
      <c r="K1543" s="84" t="str">
        <f>"00052147"</f>
        <v>00052147</v>
      </c>
    </row>
    <row r="1544" spans="1:11" ht="57" x14ac:dyDescent="0.25">
      <c r="A1544" s="83">
        <v>108</v>
      </c>
      <c r="B1544" s="84" t="s">
        <v>1599</v>
      </c>
      <c r="C1544" s="83" t="s">
        <v>0</v>
      </c>
      <c r="D1544" s="84"/>
      <c r="E1544" s="85">
        <v>64744</v>
      </c>
      <c r="F1544" s="83">
        <v>7</v>
      </c>
      <c r="G1544" s="84" t="s">
        <v>3497</v>
      </c>
      <c r="H1544" s="84" t="s">
        <v>3498</v>
      </c>
      <c r="I1544" s="84" t="s">
        <v>66</v>
      </c>
      <c r="J1544" s="84" t="s">
        <v>3499</v>
      </c>
      <c r="K1544" s="84" t="str">
        <f>"00052593"</f>
        <v>00052593</v>
      </c>
    </row>
    <row r="1545" spans="1:11" ht="57" x14ac:dyDescent="0.25">
      <c r="A1545" s="83">
        <v>108</v>
      </c>
      <c r="B1545" s="84" t="s">
        <v>1599</v>
      </c>
      <c r="C1545" s="83" t="s">
        <v>0</v>
      </c>
      <c r="D1545" s="84"/>
      <c r="E1545" s="85">
        <v>234250</v>
      </c>
      <c r="F1545" s="83">
        <v>7</v>
      </c>
      <c r="G1545" s="84" t="s">
        <v>5776</v>
      </c>
      <c r="H1545" s="84" t="s">
        <v>5777</v>
      </c>
      <c r="I1545" s="84" t="s">
        <v>5778</v>
      </c>
      <c r="J1545" s="84" t="s">
        <v>5779</v>
      </c>
      <c r="K1545" s="20" t="s">
        <v>6432</v>
      </c>
    </row>
    <row r="1546" spans="1:11" ht="42.75" x14ac:dyDescent="0.25">
      <c r="A1546" s="83">
        <v>108</v>
      </c>
      <c r="B1546" s="84" t="s">
        <v>85</v>
      </c>
      <c r="C1546" s="83" t="s">
        <v>0</v>
      </c>
      <c r="D1546" s="84"/>
      <c r="E1546" s="85">
        <v>206612</v>
      </c>
      <c r="F1546" s="83">
        <v>7</v>
      </c>
      <c r="G1546" s="84" t="s">
        <v>5664</v>
      </c>
      <c r="H1546" s="84" t="s">
        <v>5665</v>
      </c>
      <c r="I1546" s="84" t="s">
        <v>32</v>
      </c>
      <c r="J1546" s="84" t="s">
        <v>5666</v>
      </c>
      <c r="K1546" s="84" t="s">
        <v>6433</v>
      </c>
    </row>
    <row r="1547" spans="1:11" ht="42.75" x14ac:dyDescent="0.25">
      <c r="A1547" s="83">
        <v>108</v>
      </c>
      <c r="B1547" s="84" t="s">
        <v>1529</v>
      </c>
      <c r="C1547" s="83" t="s">
        <v>0</v>
      </c>
      <c r="D1547" s="84"/>
      <c r="E1547" s="85">
        <v>87229</v>
      </c>
      <c r="F1547" s="83">
        <v>7</v>
      </c>
      <c r="G1547" s="84" t="s">
        <v>5667</v>
      </c>
      <c r="H1547" s="84" t="s">
        <v>5623</v>
      </c>
      <c r="I1547" s="84" t="s">
        <v>32</v>
      </c>
      <c r="J1547" s="84" t="s">
        <v>57</v>
      </c>
      <c r="K1547" s="84" t="s">
        <v>6434</v>
      </c>
    </row>
    <row r="1548" spans="1:11" ht="42.75" x14ac:dyDescent="0.25">
      <c r="A1548" s="83">
        <v>108</v>
      </c>
      <c r="B1548" s="84" t="s">
        <v>3486</v>
      </c>
      <c r="C1548" s="83" t="s">
        <v>0</v>
      </c>
      <c r="D1548" s="84"/>
      <c r="E1548" s="85">
        <v>30000</v>
      </c>
      <c r="F1548" s="83">
        <v>7</v>
      </c>
      <c r="G1548" s="84" t="s">
        <v>3533</v>
      </c>
      <c r="H1548" s="84" t="s">
        <v>5338</v>
      </c>
      <c r="I1548" s="84" t="s">
        <v>94</v>
      </c>
      <c r="J1548" s="84" t="s">
        <v>957</v>
      </c>
      <c r="K1548" s="84" t="s">
        <v>6435</v>
      </c>
    </row>
    <row r="1549" spans="1:11" ht="57" x14ac:dyDescent="0.25">
      <c r="A1549" s="83">
        <v>108</v>
      </c>
      <c r="B1549" s="84" t="s">
        <v>1599</v>
      </c>
      <c r="C1549" s="83" t="s">
        <v>0</v>
      </c>
      <c r="D1549" s="84"/>
      <c r="E1549" s="85">
        <v>33737</v>
      </c>
      <c r="F1549" s="83">
        <v>7</v>
      </c>
      <c r="G1549" s="84" t="s">
        <v>5646</v>
      </c>
      <c r="H1549" s="84" t="s">
        <v>5647</v>
      </c>
      <c r="I1549" s="84" t="s">
        <v>66</v>
      </c>
      <c r="J1549" s="84" t="s">
        <v>5648</v>
      </c>
      <c r="K1549" s="84" t="s">
        <v>6436</v>
      </c>
    </row>
    <row r="1550" spans="1:11" ht="57" x14ac:dyDescent="0.25">
      <c r="A1550" s="83">
        <v>108</v>
      </c>
      <c r="B1550" s="84" t="s">
        <v>96</v>
      </c>
      <c r="C1550" s="83" t="s">
        <v>0</v>
      </c>
      <c r="D1550" s="84"/>
      <c r="E1550" s="85">
        <v>80742</v>
      </c>
      <c r="F1550" s="83">
        <v>7</v>
      </c>
      <c r="G1550" s="84" t="s">
        <v>5668</v>
      </c>
      <c r="H1550" s="84" t="s">
        <v>1019</v>
      </c>
      <c r="I1550" s="84" t="s">
        <v>66</v>
      </c>
      <c r="J1550" s="84" t="s">
        <v>302</v>
      </c>
      <c r="K1550" s="84" t="s">
        <v>5929</v>
      </c>
    </row>
    <row r="1551" spans="1:11" ht="114" x14ac:dyDescent="0.25">
      <c r="A1551" s="83">
        <v>108</v>
      </c>
      <c r="B1551" s="84" t="s">
        <v>977</v>
      </c>
      <c r="C1551" s="83" t="s">
        <v>0</v>
      </c>
      <c r="D1551" s="84"/>
      <c r="E1551" s="85">
        <v>44925</v>
      </c>
      <c r="F1551" s="83">
        <v>7</v>
      </c>
      <c r="G1551" s="84" t="s">
        <v>978</v>
      </c>
      <c r="H1551" s="84" t="s">
        <v>979</v>
      </c>
      <c r="I1551" s="84" t="s">
        <v>980</v>
      </c>
      <c r="J1551" s="84" t="s">
        <v>981</v>
      </c>
      <c r="K1551" s="84" t="str">
        <f>"00047787"</f>
        <v>00047787</v>
      </c>
    </row>
    <row r="1552" spans="1:11" ht="85.5" x14ac:dyDescent="0.25">
      <c r="A1552" s="83">
        <v>108</v>
      </c>
      <c r="B1552" s="84" t="s">
        <v>1604</v>
      </c>
      <c r="C1552" s="83" t="s">
        <v>0</v>
      </c>
      <c r="D1552" s="84"/>
      <c r="E1552" s="85">
        <v>60674</v>
      </c>
      <c r="F1552" s="83">
        <v>7</v>
      </c>
      <c r="G1552" s="84" t="s">
        <v>3530</v>
      </c>
      <c r="H1552" s="84" t="s">
        <v>3531</v>
      </c>
      <c r="I1552" s="84" t="s">
        <v>66</v>
      </c>
      <c r="J1552" s="84" t="s">
        <v>3532</v>
      </c>
      <c r="K1552" s="84" t="s">
        <v>6046</v>
      </c>
    </row>
    <row r="1553" spans="1:11" ht="85.5" x14ac:dyDescent="0.25">
      <c r="A1553" s="83">
        <v>108</v>
      </c>
      <c r="B1553" s="84" t="s">
        <v>973</v>
      </c>
      <c r="C1553" s="83" t="s">
        <v>0</v>
      </c>
      <c r="D1553" s="84"/>
      <c r="E1553" s="85">
        <v>254562</v>
      </c>
      <c r="F1553" s="83">
        <v>7</v>
      </c>
      <c r="G1553" s="84" t="s">
        <v>5669</v>
      </c>
      <c r="H1553" s="84" t="s">
        <v>5670</v>
      </c>
      <c r="I1553" s="84" t="s">
        <v>849</v>
      </c>
      <c r="J1553" s="84" t="s">
        <v>976</v>
      </c>
      <c r="K1553" s="84" t="s">
        <v>6047</v>
      </c>
    </row>
    <row r="1554" spans="1:11" ht="85.5" x14ac:dyDescent="0.25">
      <c r="A1554" s="83">
        <v>108</v>
      </c>
      <c r="B1554" s="84" t="s">
        <v>973</v>
      </c>
      <c r="C1554" s="83" t="s">
        <v>0</v>
      </c>
      <c r="D1554" s="84"/>
      <c r="E1554" s="85">
        <v>246006</v>
      </c>
      <c r="F1554" s="83">
        <v>7</v>
      </c>
      <c r="G1554" s="84" t="s">
        <v>5671</v>
      </c>
      <c r="H1554" s="84" t="s">
        <v>5672</v>
      </c>
      <c r="I1554" s="84" t="s">
        <v>849</v>
      </c>
      <c r="J1554" s="84" t="s">
        <v>976</v>
      </c>
      <c r="K1554" s="84" t="s">
        <v>6437</v>
      </c>
    </row>
    <row r="1555" spans="1:11" ht="42.75" x14ac:dyDescent="0.25">
      <c r="A1555" s="83">
        <v>108</v>
      </c>
      <c r="B1555" s="84" t="s">
        <v>945</v>
      </c>
      <c r="C1555" s="83" t="s">
        <v>0</v>
      </c>
      <c r="D1555" s="84"/>
      <c r="E1555" s="85">
        <v>120012</v>
      </c>
      <c r="F1555" s="83">
        <v>7</v>
      </c>
      <c r="G1555" s="84" t="s">
        <v>946</v>
      </c>
      <c r="H1555" s="84" t="s">
        <v>930</v>
      </c>
      <c r="I1555" s="84" t="s">
        <v>185</v>
      </c>
      <c r="J1555" s="84" t="s">
        <v>947</v>
      </c>
      <c r="K1555" s="76" t="s">
        <v>6438</v>
      </c>
    </row>
    <row r="1556" spans="1:11" ht="42.75" x14ac:dyDescent="0.25">
      <c r="A1556" s="83">
        <v>108</v>
      </c>
      <c r="B1556" s="84" t="s">
        <v>945</v>
      </c>
      <c r="C1556" s="83" t="s">
        <v>0</v>
      </c>
      <c r="D1556" s="84"/>
      <c r="E1556" s="85">
        <v>120012</v>
      </c>
      <c r="F1556" s="83">
        <v>7</v>
      </c>
      <c r="G1556" s="84" t="s">
        <v>946</v>
      </c>
      <c r="H1556" s="84" t="s">
        <v>930</v>
      </c>
      <c r="I1556" s="84" t="s">
        <v>185</v>
      </c>
      <c r="J1556" s="84" t="s">
        <v>947</v>
      </c>
      <c r="K1556" s="84" t="s">
        <v>6439</v>
      </c>
    </row>
    <row r="1557" spans="1:11" ht="114" x14ac:dyDescent="0.25">
      <c r="A1557" s="83">
        <v>108</v>
      </c>
      <c r="B1557" s="84" t="s">
        <v>977</v>
      </c>
      <c r="C1557" s="83" t="s">
        <v>0</v>
      </c>
      <c r="D1557" s="84"/>
      <c r="E1557" s="85">
        <v>47005</v>
      </c>
      <c r="F1557" s="83">
        <v>7</v>
      </c>
      <c r="G1557" s="84" t="s">
        <v>982</v>
      </c>
      <c r="H1557" s="84" t="s">
        <v>979</v>
      </c>
      <c r="I1557" s="84" t="s">
        <v>980</v>
      </c>
      <c r="J1557" s="84" t="s">
        <v>981</v>
      </c>
      <c r="K1557" s="84" t="str">
        <f>"00047788"</f>
        <v>00047788</v>
      </c>
    </row>
    <row r="1558" spans="1:11" ht="42.75" x14ac:dyDescent="0.25">
      <c r="A1558" s="83">
        <v>108</v>
      </c>
      <c r="B1558" s="84" t="s">
        <v>942</v>
      </c>
      <c r="C1558" s="83" t="s">
        <v>0</v>
      </c>
      <c r="D1558" s="84"/>
      <c r="E1558" s="85">
        <v>63014</v>
      </c>
      <c r="F1558" s="83">
        <v>7</v>
      </c>
      <c r="G1558" s="84" t="s">
        <v>948</v>
      </c>
      <c r="H1558" s="84" t="s">
        <v>944</v>
      </c>
      <c r="I1558" s="84" t="s">
        <v>66</v>
      </c>
      <c r="J1558" s="84" t="s">
        <v>125</v>
      </c>
      <c r="K1558" s="84" t="s">
        <v>5931</v>
      </c>
    </row>
    <row r="1559" spans="1:11" ht="42.75" x14ac:dyDescent="0.25">
      <c r="A1559" s="83">
        <v>108</v>
      </c>
      <c r="B1559" s="84" t="s">
        <v>951</v>
      </c>
      <c r="C1559" s="83" t="s">
        <v>0</v>
      </c>
      <c r="D1559" s="84"/>
      <c r="E1559" s="85">
        <v>29000</v>
      </c>
      <c r="F1559" s="83">
        <v>7</v>
      </c>
      <c r="G1559" s="84" t="s">
        <v>962</v>
      </c>
      <c r="H1559" s="84" t="s">
        <v>956</v>
      </c>
      <c r="I1559" s="84" t="s">
        <v>94</v>
      </c>
      <c r="J1559" s="84" t="s">
        <v>957</v>
      </c>
      <c r="K1559" s="84" t="s">
        <v>5930</v>
      </c>
    </row>
    <row r="1560" spans="1:11" ht="42.75" x14ac:dyDescent="0.25">
      <c r="A1560" s="83">
        <v>108</v>
      </c>
      <c r="B1560" s="84" t="s">
        <v>942</v>
      </c>
      <c r="C1560" s="83" t="s">
        <v>0</v>
      </c>
      <c r="D1560" s="84"/>
      <c r="E1560" s="85">
        <v>62914</v>
      </c>
      <c r="F1560" s="83">
        <v>7</v>
      </c>
      <c r="G1560" s="84" t="s">
        <v>943</v>
      </c>
      <c r="H1560" s="84" t="s">
        <v>944</v>
      </c>
      <c r="I1560" s="84" t="s">
        <v>66</v>
      </c>
      <c r="J1560" s="84" t="s">
        <v>125</v>
      </c>
      <c r="K1560" s="84" t="s">
        <v>6440</v>
      </c>
    </row>
    <row r="1561" spans="1:11" ht="42.75" x14ac:dyDescent="0.25">
      <c r="A1561" s="83">
        <v>108</v>
      </c>
      <c r="B1561" s="84" t="s">
        <v>942</v>
      </c>
      <c r="C1561" s="83" t="s">
        <v>0</v>
      </c>
      <c r="D1561" s="84"/>
      <c r="E1561" s="85">
        <v>64374</v>
      </c>
      <c r="F1561" s="83">
        <v>7</v>
      </c>
      <c r="G1561" s="84" t="s">
        <v>948</v>
      </c>
      <c r="H1561" s="84" t="s">
        <v>949</v>
      </c>
      <c r="I1561" s="84" t="s">
        <v>66</v>
      </c>
      <c r="J1561" s="84" t="s">
        <v>125</v>
      </c>
      <c r="K1561" s="84" t="s">
        <v>6441</v>
      </c>
    </row>
    <row r="1562" spans="1:11" ht="42.75" x14ac:dyDescent="0.25">
      <c r="A1562" s="83">
        <v>108</v>
      </c>
      <c r="B1562" s="84" t="s">
        <v>942</v>
      </c>
      <c r="C1562" s="83" t="s">
        <v>0</v>
      </c>
      <c r="D1562" s="84"/>
      <c r="E1562" s="85">
        <v>63002</v>
      </c>
      <c r="F1562" s="83">
        <v>7</v>
      </c>
      <c r="G1562" s="84" t="s">
        <v>963</v>
      </c>
      <c r="H1562" s="84" t="s">
        <v>949</v>
      </c>
      <c r="I1562" s="84" t="s">
        <v>66</v>
      </c>
      <c r="J1562" s="84" t="s">
        <v>125</v>
      </c>
      <c r="K1562" s="84" t="s">
        <v>6442</v>
      </c>
    </row>
    <row r="1563" spans="1:11" ht="42.75" x14ac:dyDescent="0.25">
      <c r="A1563" s="83">
        <v>108</v>
      </c>
      <c r="B1563" s="84" t="s">
        <v>942</v>
      </c>
      <c r="C1563" s="83" t="s">
        <v>0</v>
      </c>
      <c r="D1563" s="84"/>
      <c r="E1563" s="85">
        <v>44604</v>
      </c>
      <c r="F1563" s="83">
        <v>7</v>
      </c>
      <c r="G1563" s="84" t="s">
        <v>950</v>
      </c>
      <c r="H1563" s="84" t="s">
        <v>124</v>
      </c>
      <c r="I1563" s="84" t="s">
        <v>66</v>
      </c>
      <c r="J1563" s="84" t="s">
        <v>125</v>
      </c>
      <c r="K1563" s="84" t="s">
        <v>6048</v>
      </c>
    </row>
    <row r="1564" spans="1:11" ht="42.75" x14ac:dyDescent="0.25">
      <c r="A1564" s="83">
        <v>108</v>
      </c>
      <c r="B1564" s="84" t="s">
        <v>951</v>
      </c>
      <c r="C1564" s="83" t="s">
        <v>0</v>
      </c>
      <c r="D1564" s="84"/>
      <c r="E1564" s="85">
        <v>29000</v>
      </c>
      <c r="F1564" s="83">
        <v>7</v>
      </c>
      <c r="G1564" s="84" t="s">
        <v>955</v>
      </c>
      <c r="H1564" s="84" t="s">
        <v>956</v>
      </c>
      <c r="I1564" s="84" t="s">
        <v>94</v>
      </c>
      <c r="J1564" s="84" t="s">
        <v>957</v>
      </c>
      <c r="K1564" s="84" t="s">
        <v>6049</v>
      </c>
    </row>
    <row r="1565" spans="1:11" ht="57" x14ac:dyDescent="0.25">
      <c r="A1565" s="83">
        <v>108</v>
      </c>
      <c r="B1565" s="84" t="s">
        <v>958</v>
      </c>
      <c r="C1565" s="83" t="s">
        <v>0</v>
      </c>
      <c r="D1565" s="84"/>
      <c r="E1565" s="85">
        <v>57069</v>
      </c>
      <c r="F1565" s="83">
        <v>7</v>
      </c>
      <c r="G1565" s="84" t="s">
        <v>959</v>
      </c>
      <c r="H1565" s="84" t="s">
        <v>960</v>
      </c>
      <c r="I1565" s="84" t="s">
        <v>66</v>
      </c>
      <c r="J1565" s="84" t="s">
        <v>961</v>
      </c>
      <c r="K1565" s="84" t="s">
        <v>6443</v>
      </c>
    </row>
    <row r="1566" spans="1:11" ht="42.75" x14ac:dyDescent="0.25">
      <c r="A1566" s="83">
        <v>108</v>
      </c>
      <c r="B1566" s="84" t="s">
        <v>951</v>
      </c>
      <c r="C1566" s="83" t="s">
        <v>0</v>
      </c>
      <c r="D1566" s="84"/>
      <c r="E1566" s="85">
        <v>32183</v>
      </c>
      <c r="F1566" s="83">
        <v>7</v>
      </c>
      <c r="G1566" s="84" t="s">
        <v>964</v>
      </c>
      <c r="H1566" s="84" t="s">
        <v>956</v>
      </c>
      <c r="I1566" s="84" t="s">
        <v>94</v>
      </c>
      <c r="J1566" s="84" t="s">
        <v>957</v>
      </c>
      <c r="K1566" s="84" t="s">
        <v>6444</v>
      </c>
    </row>
    <row r="1567" spans="1:11" ht="42.75" x14ac:dyDescent="0.25">
      <c r="A1567" s="83">
        <v>108</v>
      </c>
      <c r="B1567" s="84" t="s">
        <v>951</v>
      </c>
      <c r="C1567" s="83" t="s">
        <v>0</v>
      </c>
      <c r="D1567" s="84"/>
      <c r="E1567" s="85">
        <v>37647</v>
      </c>
      <c r="F1567" s="83">
        <v>7</v>
      </c>
      <c r="G1567" s="84" t="s">
        <v>952</v>
      </c>
      <c r="H1567" s="84" t="s">
        <v>953</v>
      </c>
      <c r="I1567" s="84" t="s">
        <v>66</v>
      </c>
      <c r="J1567" s="84" t="s">
        <v>954</v>
      </c>
      <c r="K1567" s="84" t="s">
        <v>6445</v>
      </c>
    </row>
    <row r="1568" spans="1:11" ht="42.75" x14ac:dyDescent="0.25">
      <c r="A1568" s="83">
        <v>108</v>
      </c>
      <c r="B1568" s="84" t="s">
        <v>96</v>
      </c>
      <c r="C1568" s="83" t="s">
        <v>0</v>
      </c>
      <c r="D1568" s="84"/>
      <c r="E1568" s="85">
        <v>60640</v>
      </c>
      <c r="F1568" s="83">
        <v>7</v>
      </c>
      <c r="G1568" s="84" t="s">
        <v>965</v>
      </c>
      <c r="H1568" s="84" t="s">
        <v>98</v>
      </c>
      <c r="I1568" s="84" t="s">
        <v>66</v>
      </c>
      <c r="J1568" s="84" t="s">
        <v>99</v>
      </c>
      <c r="K1568" s="84" t="s">
        <v>6446</v>
      </c>
    </row>
    <row r="1569" spans="1:11" ht="42.75" x14ac:dyDescent="0.25">
      <c r="A1569" s="83">
        <v>108</v>
      </c>
      <c r="B1569" s="84" t="s">
        <v>951</v>
      </c>
      <c r="C1569" s="83" t="s">
        <v>0</v>
      </c>
      <c r="D1569" s="84"/>
      <c r="E1569" s="85">
        <v>37917</v>
      </c>
      <c r="F1569" s="83">
        <v>7</v>
      </c>
      <c r="G1569" s="84" t="s">
        <v>952</v>
      </c>
      <c r="H1569" s="84" t="s">
        <v>953</v>
      </c>
      <c r="I1569" s="84" t="s">
        <v>66</v>
      </c>
      <c r="J1569" s="84" t="s">
        <v>954</v>
      </c>
      <c r="K1569" s="84" t="s">
        <v>6447</v>
      </c>
    </row>
    <row r="1570" spans="1:11" ht="42.75" x14ac:dyDescent="0.25">
      <c r="A1570" s="83">
        <v>108</v>
      </c>
      <c r="B1570" s="84" t="s">
        <v>951</v>
      </c>
      <c r="C1570" s="83" t="s">
        <v>0</v>
      </c>
      <c r="D1570" s="84"/>
      <c r="E1570" s="85">
        <v>35233</v>
      </c>
      <c r="F1570" s="83">
        <v>7</v>
      </c>
      <c r="G1570" s="84" t="s">
        <v>964</v>
      </c>
      <c r="H1570" s="84" t="s">
        <v>956</v>
      </c>
      <c r="I1570" s="84" t="s">
        <v>94</v>
      </c>
      <c r="J1570" s="84" t="s">
        <v>957</v>
      </c>
      <c r="K1570" s="84" t="s">
        <v>6448</v>
      </c>
    </row>
    <row r="1571" spans="1:11" ht="57" x14ac:dyDescent="0.25">
      <c r="A1571" s="83">
        <v>108</v>
      </c>
      <c r="B1571" s="84" t="s">
        <v>938</v>
      </c>
      <c r="C1571" s="83" t="s">
        <v>0</v>
      </c>
      <c r="D1571" s="84"/>
      <c r="E1571" s="85">
        <v>150000</v>
      </c>
      <c r="F1571" s="83">
        <v>7</v>
      </c>
      <c r="G1571" s="84" t="s">
        <v>939</v>
      </c>
      <c r="H1571" s="84" t="s">
        <v>940</v>
      </c>
      <c r="I1571" s="84" t="s">
        <v>32</v>
      </c>
      <c r="J1571" s="84" t="s">
        <v>941</v>
      </c>
      <c r="K1571" s="84" t="str">
        <f>"00046505"</f>
        <v>00046505</v>
      </c>
    </row>
    <row r="1572" spans="1:11" ht="42.75" x14ac:dyDescent="0.25">
      <c r="A1572" s="83">
        <v>108</v>
      </c>
      <c r="B1572" s="84" t="s">
        <v>951</v>
      </c>
      <c r="C1572" s="83" t="s">
        <v>0</v>
      </c>
      <c r="D1572" s="84"/>
      <c r="E1572" s="85">
        <v>29000</v>
      </c>
      <c r="F1572" s="83">
        <v>7</v>
      </c>
      <c r="G1572" s="84" t="s">
        <v>955</v>
      </c>
      <c r="H1572" s="84" t="s">
        <v>956</v>
      </c>
      <c r="I1572" s="84" t="s">
        <v>94</v>
      </c>
      <c r="J1572" s="84" t="s">
        <v>957</v>
      </c>
      <c r="K1572" s="84" t="s">
        <v>5932</v>
      </c>
    </row>
    <row r="1573" spans="1:11" ht="57" x14ac:dyDescent="0.25">
      <c r="A1573" s="83">
        <v>108</v>
      </c>
      <c r="B1573" s="84" t="s">
        <v>115</v>
      </c>
      <c r="C1573" s="83" t="s">
        <v>0</v>
      </c>
      <c r="D1573" s="84"/>
      <c r="E1573" s="85">
        <v>87594</v>
      </c>
      <c r="F1573" s="83">
        <v>7</v>
      </c>
      <c r="G1573" s="84" t="s">
        <v>970</v>
      </c>
      <c r="H1573" s="84" t="s">
        <v>971</v>
      </c>
      <c r="I1573" s="84" t="s">
        <v>32</v>
      </c>
      <c r="J1573" s="84" t="s">
        <v>972</v>
      </c>
      <c r="K1573" s="84" t="s">
        <v>5933</v>
      </c>
    </row>
    <row r="1574" spans="1:11" ht="42.75" x14ac:dyDescent="0.25">
      <c r="A1574" s="83">
        <v>108</v>
      </c>
      <c r="B1574" s="84" t="s">
        <v>3486</v>
      </c>
      <c r="C1574" s="83" t="s">
        <v>0</v>
      </c>
      <c r="D1574" s="84"/>
      <c r="E1574" s="85">
        <v>27000</v>
      </c>
      <c r="F1574" s="83">
        <v>7</v>
      </c>
      <c r="G1574" s="84" t="s">
        <v>964</v>
      </c>
      <c r="H1574" s="84" t="s">
        <v>3535</v>
      </c>
      <c r="I1574" s="84" t="s">
        <v>94</v>
      </c>
      <c r="J1574" s="84" t="s">
        <v>957</v>
      </c>
      <c r="K1574" s="84" t="s">
        <v>5934</v>
      </c>
    </row>
    <row r="1575" spans="1:11" ht="85.5" x14ac:dyDescent="0.25">
      <c r="A1575" s="83">
        <v>108</v>
      </c>
      <c r="B1575" s="84" t="s">
        <v>966</v>
      </c>
      <c r="C1575" s="83" t="s">
        <v>0</v>
      </c>
      <c r="D1575" s="84"/>
      <c r="E1575" s="85">
        <v>25000</v>
      </c>
      <c r="F1575" s="83">
        <v>7</v>
      </c>
      <c r="G1575" s="84" t="s">
        <v>967</v>
      </c>
      <c r="H1575" s="84" t="s">
        <v>968</v>
      </c>
      <c r="I1575" s="84" t="s">
        <v>61</v>
      </c>
      <c r="J1575" s="84" t="s">
        <v>969</v>
      </c>
      <c r="K1575" s="84" t="s">
        <v>6050</v>
      </c>
    </row>
    <row r="1576" spans="1:11" ht="85.5" x14ac:dyDescent="0.25">
      <c r="A1576" s="83">
        <v>108</v>
      </c>
      <c r="B1576" s="84" t="s">
        <v>973</v>
      </c>
      <c r="C1576" s="83" t="s">
        <v>0</v>
      </c>
      <c r="D1576" s="84"/>
      <c r="E1576" s="85">
        <v>326169</v>
      </c>
      <c r="F1576" s="83">
        <v>7</v>
      </c>
      <c r="G1576" s="84" t="s">
        <v>974</v>
      </c>
      <c r="H1576" s="84" t="s">
        <v>975</v>
      </c>
      <c r="I1576" s="84" t="s">
        <v>849</v>
      </c>
      <c r="J1576" s="84" t="s">
        <v>976</v>
      </c>
      <c r="K1576" s="84" t="s">
        <v>6051</v>
      </c>
    </row>
    <row r="1577" spans="1:11" ht="42.75" x14ac:dyDescent="0.25">
      <c r="A1577" s="83">
        <v>108</v>
      </c>
      <c r="B1577" s="84" t="s">
        <v>3486</v>
      </c>
      <c r="C1577" s="83" t="s">
        <v>0</v>
      </c>
      <c r="D1577" s="84"/>
      <c r="E1577" s="85">
        <v>33000</v>
      </c>
      <c r="F1577" s="83">
        <v>7</v>
      </c>
      <c r="G1577" s="84" t="s">
        <v>3533</v>
      </c>
      <c r="H1577" s="84" t="s">
        <v>3534</v>
      </c>
      <c r="I1577" s="84" t="s">
        <v>94</v>
      </c>
      <c r="J1577" s="84" t="s">
        <v>957</v>
      </c>
      <c r="K1577" s="84" t="s">
        <v>6449</v>
      </c>
    </row>
    <row r="1578" spans="1:11" ht="57" x14ac:dyDescent="0.25">
      <c r="A1578" s="83">
        <v>108</v>
      </c>
      <c r="B1578" s="84" t="s">
        <v>934</v>
      </c>
      <c r="C1578" s="83" t="s">
        <v>0</v>
      </c>
      <c r="D1578" s="84"/>
      <c r="E1578" s="85">
        <v>30571</v>
      </c>
      <c r="F1578" s="83">
        <v>7</v>
      </c>
      <c r="G1578" s="84" t="s">
        <v>935</v>
      </c>
      <c r="H1578" s="84" t="s">
        <v>936</v>
      </c>
      <c r="I1578" s="84" t="s">
        <v>66</v>
      </c>
      <c r="J1578" s="84" t="s">
        <v>937</v>
      </c>
      <c r="K1578" s="84" t="s">
        <v>6450</v>
      </c>
    </row>
    <row r="1579" spans="1:11" ht="42.75" x14ac:dyDescent="0.25">
      <c r="A1579" s="83">
        <v>108</v>
      </c>
      <c r="B1579" s="84" t="s">
        <v>3486</v>
      </c>
      <c r="C1579" s="83" t="s">
        <v>0</v>
      </c>
      <c r="D1579" s="84"/>
      <c r="E1579" s="85">
        <v>33000</v>
      </c>
      <c r="F1579" s="83">
        <v>7</v>
      </c>
      <c r="G1579" s="84" t="s">
        <v>962</v>
      </c>
      <c r="H1579" s="84" t="s">
        <v>3534</v>
      </c>
      <c r="I1579" s="84" t="s">
        <v>94</v>
      </c>
      <c r="J1579" s="84" t="s">
        <v>957</v>
      </c>
      <c r="K1579" s="84" t="s">
        <v>6451</v>
      </c>
    </row>
    <row r="1580" spans="1:11" ht="42.75" x14ac:dyDescent="0.25">
      <c r="A1580" s="83">
        <v>108</v>
      </c>
      <c r="B1580" s="84" t="s">
        <v>3551</v>
      </c>
      <c r="C1580" s="83" t="s">
        <v>0</v>
      </c>
      <c r="D1580" s="84"/>
      <c r="E1580" s="85">
        <v>44500</v>
      </c>
      <c r="F1580" s="83">
        <v>7</v>
      </c>
      <c r="G1580" s="84" t="s">
        <v>964</v>
      </c>
      <c r="H1580" s="84" t="s">
        <v>416</v>
      </c>
      <c r="I1580" s="84" t="s">
        <v>94</v>
      </c>
      <c r="J1580" s="84" t="s">
        <v>957</v>
      </c>
      <c r="K1580" s="84" t="s">
        <v>6452</v>
      </c>
    </row>
    <row r="1581" spans="1:11" ht="99.75" x14ac:dyDescent="0.25">
      <c r="A1581" s="83">
        <v>108</v>
      </c>
      <c r="B1581" s="84" t="s">
        <v>1604</v>
      </c>
      <c r="C1581" s="83" t="s">
        <v>0</v>
      </c>
      <c r="D1581" s="84"/>
      <c r="E1581" s="85">
        <v>29184</v>
      </c>
      <c r="F1581" s="83">
        <v>7</v>
      </c>
      <c r="G1581" s="84" t="s">
        <v>5673</v>
      </c>
      <c r="H1581" s="84" t="s">
        <v>5674</v>
      </c>
      <c r="I1581" s="84" t="s">
        <v>66</v>
      </c>
      <c r="J1581" s="84" t="s">
        <v>3532</v>
      </c>
      <c r="K1581" s="84" t="s">
        <v>6453</v>
      </c>
    </row>
    <row r="1582" spans="1:11" ht="57" x14ac:dyDescent="0.25">
      <c r="A1582" s="83">
        <v>108</v>
      </c>
      <c r="B1582" s="84" t="s">
        <v>1626</v>
      </c>
      <c r="C1582" s="83" t="s">
        <v>0</v>
      </c>
      <c r="D1582" s="84"/>
      <c r="E1582" s="85">
        <v>320000</v>
      </c>
      <c r="F1582" s="83">
        <v>7</v>
      </c>
      <c r="G1582" s="84" t="s">
        <v>5675</v>
      </c>
      <c r="H1582" s="84" t="s">
        <v>5676</v>
      </c>
      <c r="I1582" s="84" t="s">
        <v>66</v>
      </c>
      <c r="J1582" s="84" t="s">
        <v>1629</v>
      </c>
      <c r="K1582" s="84" t="s">
        <v>6454</v>
      </c>
    </row>
    <row r="1583" spans="1:11" ht="57" x14ac:dyDescent="0.25">
      <c r="A1583" s="83">
        <v>108</v>
      </c>
      <c r="B1583" s="84" t="s">
        <v>1599</v>
      </c>
      <c r="C1583" s="83" t="s">
        <v>0</v>
      </c>
      <c r="D1583" s="84"/>
      <c r="E1583" s="85">
        <v>31557</v>
      </c>
      <c r="F1583" s="83">
        <v>7</v>
      </c>
      <c r="G1583" s="84" t="s">
        <v>5675</v>
      </c>
      <c r="H1583" s="84" t="s">
        <v>5676</v>
      </c>
      <c r="I1583" s="84" t="s">
        <v>66</v>
      </c>
      <c r="J1583" s="84" t="s">
        <v>1629</v>
      </c>
      <c r="K1583" s="84" t="s">
        <v>5935</v>
      </c>
    </row>
    <row r="1584" spans="1:11" ht="85.5" x14ac:dyDescent="0.25">
      <c r="A1584" s="83">
        <v>108</v>
      </c>
      <c r="B1584" s="84" t="s">
        <v>977</v>
      </c>
      <c r="C1584" s="83" t="s">
        <v>0</v>
      </c>
      <c r="D1584" s="84"/>
      <c r="E1584" s="85">
        <v>105678</v>
      </c>
      <c r="F1584" s="83">
        <v>7</v>
      </c>
      <c r="G1584" s="84" t="s">
        <v>3542</v>
      </c>
      <c r="H1584" s="84" t="s">
        <v>3543</v>
      </c>
      <c r="I1584" s="84" t="s">
        <v>980</v>
      </c>
      <c r="J1584" s="84" t="s">
        <v>981</v>
      </c>
      <c r="K1584" s="84" t="s">
        <v>6455</v>
      </c>
    </row>
    <row r="1585" spans="1:11" ht="42.75" x14ac:dyDescent="0.25">
      <c r="A1585" s="83">
        <v>108</v>
      </c>
      <c r="B1585" s="84" t="s">
        <v>126</v>
      </c>
      <c r="C1585" s="83" t="s">
        <v>0</v>
      </c>
      <c r="D1585" s="84"/>
      <c r="E1585" s="85">
        <v>50000</v>
      </c>
      <c r="F1585" s="83">
        <v>7</v>
      </c>
      <c r="G1585" s="84" t="s">
        <v>3540</v>
      </c>
      <c r="H1585" s="84" t="s">
        <v>3541</v>
      </c>
      <c r="I1585" s="84" t="s">
        <v>1860</v>
      </c>
      <c r="J1585" s="84" t="s">
        <v>1861</v>
      </c>
      <c r="K1585" s="84" t="s">
        <v>6053</v>
      </c>
    </row>
    <row r="1586" spans="1:11" ht="42.75" x14ac:dyDescent="0.25">
      <c r="A1586" s="83">
        <v>108</v>
      </c>
      <c r="B1586" s="84" t="s">
        <v>3551</v>
      </c>
      <c r="C1586" s="83" t="s">
        <v>0</v>
      </c>
      <c r="D1586" s="84"/>
      <c r="E1586" s="85">
        <v>55000</v>
      </c>
      <c r="F1586" s="83">
        <v>7</v>
      </c>
      <c r="G1586" s="84" t="s">
        <v>952</v>
      </c>
      <c r="H1586" s="84" t="s">
        <v>722</v>
      </c>
      <c r="I1586" s="84" t="s">
        <v>66</v>
      </c>
      <c r="J1586" s="84" t="s">
        <v>954</v>
      </c>
      <c r="K1586" s="84" t="s">
        <v>6052</v>
      </c>
    </row>
    <row r="1587" spans="1:11" ht="71.25" x14ac:dyDescent="0.25">
      <c r="A1587" s="83">
        <v>108</v>
      </c>
      <c r="B1587" s="84" t="s">
        <v>973</v>
      </c>
      <c r="C1587" s="83" t="s">
        <v>0</v>
      </c>
      <c r="D1587" s="84"/>
      <c r="E1587" s="85">
        <v>39146</v>
      </c>
      <c r="F1587" s="83">
        <v>7</v>
      </c>
      <c r="G1587" s="84" t="s">
        <v>3537</v>
      </c>
      <c r="H1587" s="84" t="s">
        <v>3538</v>
      </c>
      <c r="I1587" s="84" t="s">
        <v>106</v>
      </c>
      <c r="J1587" s="84" t="s">
        <v>3539</v>
      </c>
      <c r="K1587" s="84" t="s">
        <v>6456</v>
      </c>
    </row>
    <row r="1588" spans="1:11" ht="42.75" x14ac:dyDescent="0.25">
      <c r="A1588" s="83">
        <v>108</v>
      </c>
      <c r="B1588" s="84" t="s">
        <v>3551</v>
      </c>
      <c r="C1588" s="83" t="s">
        <v>0</v>
      </c>
      <c r="D1588" s="84"/>
      <c r="E1588" s="85">
        <v>70000</v>
      </c>
      <c r="F1588" s="83">
        <v>7</v>
      </c>
      <c r="G1588" s="84" t="s">
        <v>3487</v>
      </c>
      <c r="H1588" s="84" t="s">
        <v>3557</v>
      </c>
      <c r="I1588" s="84" t="s">
        <v>66</v>
      </c>
      <c r="J1588" s="84" t="s">
        <v>1369</v>
      </c>
      <c r="K1588" s="84" t="s">
        <v>6457</v>
      </c>
    </row>
    <row r="1589" spans="1:11" ht="71.25" x14ac:dyDescent="0.25">
      <c r="A1589" s="83">
        <v>108</v>
      </c>
      <c r="B1589" s="84" t="s">
        <v>126</v>
      </c>
      <c r="C1589" s="83" t="s">
        <v>0</v>
      </c>
      <c r="D1589" s="84"/>
      <c r="E1589" s="85">
        <v>139784</v>
      </c>
      <c r="F1589" s="83">
        <v>7</v>
      </c>
      <c r="G1589" s="84" t="s">
        <v>3536</v>
      </c>
      <c r="H1589" s="84" t="s">
        <v>1566</v>
      </c>
      <c r="I1589" s="84" t="s">
        <v>1567</v>
      </c>
      <c r="J1589" s="84" t="s">
        <v>1568</v>
      </c>
      <c r="K1589" s="84" t="s">
        <v>6458</v>
      </c>
    </row>
    <row r="1590" spans="1:11" ht="99.75" x14ac:dyDescent="0.25">
      <c r="A1590" s="83">
        <v>108</v>
      </c>
      <c r="B1590" s="84" t="s">
        <v>1561</v>
      </c>
      <c r="C1590" s="83" t="s">
        <v>0</v>
      </c>
      <c r="D1590" s="84"/>
      <c r="E1590" s="85">
        <v>41902</v>
      </c>
      <c r="F1590" s="83">
        <v>7</v>
      </c>
      <c r="G1590" s="84" t="s">
        <v>3556</v>
      </c>
      <c r="H1590" s="84" t="s">
        <v>1563</v>
      </c>
      <c r="I1590" s="84" t="s">
        <v>32</v>
      </c>
      <c r="J1590" s="84" t="s">
        <v>1564</v>
      </c>
      <c r="K1590" s="84" t="s">
        <v>6459</v>
      </c>
    </row>
    <row r="1591" spans="1:11" ht="57" x14ac:dyDescent="0.25">
      <c r="A1591" s="83">
        <v>108</v>
      </c>
      <c r="B1591" s="84" t="s">
        <v>3551</v>
      </c>
      <c r="C1591" s="83" t="s">
        <v>0</v>
      </c>
      <c r="D1591" s="84"/>
      <c r="E1591" s="85">
        <v>70916</v>
      </c>
      <c r="F1591" s="83">
        <v>7</v>
      </c>
      <c r="G1591" s="84" t="s">
        <v>3552</v>
      </c>
      <c r="H1591" s="84" t="s">
        <v>3553</v>
      </c>
      <c r="I1591" s="84" t="s">
        <v>3546</v>
      </c>
      <c r="J1591" s="84" t="s">
        <v>3547</v>
      </c>
      <c r="K1591" s="84" t="s">
        <v>5936</v>
      </c>
    </row>
    <row r="1592" spans="1:11" ht="42.75" x14ac:dyDescent="0.25">
      <c r="A1592" s="83">
        <v>108</v>
      </c>
      <c r="B1592" s="84" t="s">
        <v>951</v>
      </c>
      <c r="C1592" s="83" t="s">
        <v>0</v>
      </c>
      <c r="D1592" s="84"/>
      <c r="E1592" s="85">
        <v>101175</v>
      </c>
      <c r="F1592" s="83">
        <v>7</v>
      </c>
      <c r="G1592" s="84" t="s">
        <v>3554</v>
      </c>
      <c r="H1592" s="84" t="s">
        <v>3555</v>
      </c>
      <c r="I1592" s="84" t="s">
        <v>849</v>
      </c>
      <c r="J1592" s="84" t="s">
        <v>3436</v>
      </c>
      <c r="K1592" s="84" t="s">
        <v>5937</v>
      </c>
    </row>
    <row r="1593" spans="1:11" ht="42.75" x14ac:dyDescent="0.25">
      <c r="A1593" s="83">
        <v>108</v>
      </c>
      <c r="B1593" s="84" t="s">
        <v>1518</v>
      </c>
      <c r="C1593" s="83" t="s">
        <v>0</v>
      </c>
      <c r="D1593" s="84"/>
      <c r="E1593" s="85">
        <v>157272</v>
      </c>
      <c r="F1593" s="83">
        <v>7</v>
      </c>
      <c r="G1593" s="84" t="s">
        <v>3548</v>
      </c>
      <c r="H1593" s="84" t="s">
        <v>3549</v>
      </c>
      <c r="I1593" s="84" t="s">
        <v>66</v>
      </c>
      <c r="J1593" s="84" t="s">
        <v>3550</v>
      </c>
      <c r="K1593" s="84" t="s">
        <v>5938</v>
      </c>
    </row>
    <row r="1594" spans="1:11" ht="42.75" x14ac:dyDescent="0.25">
      <c r="A1594" s="83">
        <v>108</v>
      </c>
      <c r="B1594" s="84" t="s">
        <v>951</v>
      </c>
      <c r="C1594" s="83" t="s">
        <v>0</v>
      </c>
      <c r="D1594" s="84"/>
      <c r="E1594" s="85">
        <v>44500</v>
      </c>
      <c r="F1594" s="83">
        <v>7</v>
      </c>
      <c r="G1594" s="84" t="s">
        <v>964</v>
      </c>
      <c r="H1594" s="84" t="s">
        <v>416</v>
      </c>
      <c r="I1594" s="84" t="s">
        <v>94</v>
      </c>
      <c r="J1594" s="84" t="s">
        <v>957</v>
      </c>
      <c r="K1594" s="84" t="s">
        <v>5939</v>
      </c>
    </row>
    <row r="1595" spans="1:11" ht="57" x14ac:dyDescent="0.25">
      <c r="A1595" s="83">
        <v>108</v>
      </c>
      <c r="B1595" s="84" t="s">
        <v>951</v>
      </c>
      <c r="C1595" s="83" t="s">
        <v>0</v>
      </c>
      <c r="D1595" s="84"/>
      <c r="E1595" s="85">
        <v>110000</v>
      </c>
      <c r="F1595" s="83">
        <v>7</v>
      </c>
      <c r="G1595" s="84" t="s">
        <v>3544</v>
      </c>
      <c r="H1595" s="84" t="s">
        <v>3545</v>
      </c>
      <c r="I1595" s="84" t="s">
        <v>3546</v>
      </c>
      <c r="J1595" s="84" t="s">
        <v>3547</v>
      </c>
      <c r="K1595" s="84" t="s">
        <v>5940</v>
      </c>
    </row>
    <row r="1596" spans="1:11" ht="42.75" x14ac:dyDescent="0.25">
      <c r="A1596" s="83">
        <v>108</v>
      </c>
      <c r="B1596" s="84" t="s">
        <v>951</v>
      </c>
      <c r="C1596" s="83" t="s">
        <v>0</v>
      </c>
      <c r="D1596" s="84"/>
      <c r="E1596" s="85">
        <v>44500</v>
      </c>
      <c r="F1596" s="83">
        <v>7</v>
      </c>
      <c r="G1596" s="84" t="s">
        <v>964</v>
      </c>
      <c r="H1596" s="84" t="s">
        <v>416</v>
      </c>
      <c r="I1596" s="84" t="s">
        <v>94</v>
      </c>
      <c r="J1596" s="84" t="s">
        <v>957</v>
      </c>
      <c r="K1596" s="84" t="s">
        <v>5941</v>
      </c>
    </row>
    <row r="1597" spans="1:11" ht="57" x14ac:dyDescent="0.25">
      <c r="A1597" s="83">
        <v>108</v>
      </c>
      <c r="B1597" s="84" t="s">
        <v>958</v>
      </c>
      <c r="C1597" s="83" t="s">
        <v>0</v>
      </c>
      <c r="D1597" s="84"/>
      <c r="E1597" s="85">
        <v>56701</v>
      </c>
      <c r="F1597" s="83">
        <v>7</v>
      </c>
      <c r="G1597" s="84" t="s">
        <v>3516</v>
      </c>
      <c r="H1597" s="84" t="s">
        <v>1443</v>
      </c>
      <c r="I1597" s="84" t="s">
        <v>66</v>
      </c>
      <c r="J1597" s="84" t="s">
        <v>3517</v>
      </c>
      <c r="K1597" s="84" t="s">
        <v>5942</v>
      </c>
    </row>
    <row r="1598" spans="1:11" ht="85.5" x14ac:dyDescent="0.25">
      <c r="A1598" s="83">
        <v>108</v>
      </c>
      <c r="B1598" s="84" t="s">
        <v>973</v>
      </c>
      <c r="C1598" s="83" t="s">
        <v>0</v>
      </c>
      <c r="D1598" s="84"/>
      <c r="E1598" s="85">
        <v>569775</v>
      </c>
      <c r="F1598" s="83">
        <v>7</v>
      </c>
      <c r="G1598" s="84" t="s">
        <v>3500</v>
      </c>
      <c r="H1598" s="84" t="s">
        <v>3501</v>
      </c>
      <c r="I1598" s="84" t="s">
        <v>849</v>
      </c>
      <c r="J1598" s="84" t="s">
        <v>976</v>
      </c>
      <c r="K1598" s="84" t="s">
        <v>6460</v>
      </c>
    </row>
    <row r="1599" spans="1:11" ht="42.75" x14ac:dyDescent="0.25">
      <c r="A1599" s="83">
        <v>108</v>
      </c>
      <c r="B1599" s="84" t="s">
        <v>951</v>
      </c>
      <c r="C1599" s="83" t="s">
        <v>0</v>
      </c>
      <c r="D1599" s="84"/>
      <c r="E1599" s="85">
        <v>44500</v>
      </c>
      <c r="F1599" s="83">
        <v>7</v>
      </c>
      <c r="G1599" s="84" t="s">
        <v>964</v>
      </c>
      <c r="H1599" s="84" t="s">
        <v>416</v>
      </c>
      <c r="I1599" s="84" t="s">
        <v>94</v>
      </c>
      <c r="J1599" s="84" t="s">
        <v>957</v>
      </c>
      <c r="K1599" s="84" t="s">
        <v>6461</v>
      </c>
    </row>
    <row r="1600" spans="1:11" ht="71.25" x14ac:dyDescent="0.25">
      <c r="A1600" s="83">
        <v>108</v>
      </c>
      <c r="B1600" s="84" t="s">
        <v>973</v>
      </c>
      <c r="C1600" s="83" t="s">
        <v>0</v>
      </c>
      <c r="D1600" s="84"/>
      <c r="E1600" s="85">
        <v>146679</v>
      </c>
      <c r="F1600" s="83">
        <v>7</v>
      </c>
      <c r="G1600" s="84" t="s">
        <v>3502</v>
      </c>
      <c r="H1600" s="84" t="s">
        <v>3503</v>
      </c>
      <c r="I1600" s="84" t="s">
        <v>849</v>
      </c>
      <c r="J1600" s="84" t="s">
        <v>976</v>
      </c>
      <c r="K1600" s="84" t="s">
        <v>6462</v>
      </c>
    </row>
    <row r="1601" spans="1:11" ht="128.25" x14ac:dyDescent="0.25">
      <c r="A1601" s="83">
        <v>108</v>
      </c>
      <c r="B1601" s="84" t="s">
        <v>1604</v>
      </c>
      <c r="C1601" s="83" t="s">
        <v>0</v>
      </c>
      <c r="D1601" s="84"/>
      <c r="E1601" s="85">
        <v>6711</v>
      </c>
      <c r="F1601" s="83">
        <v>7</v>
      </c>
      <c r="G1601" s="84" t="s">
        <v>3518</v>
      </c>
      <c r="H1601" s="84" t="s">
        <v>2074</v>
      </c>
      <c r="I1601" s="84" t="s">
        <v>66</v>
      </c>
      <c r="J1601" s="84" t="s">
        <v>3519</v>
      </c>
      <c r="K1601" s="84" t="str">
        <f>"00050382"</f>
        <v>00050382</v>
      </c>
    </row>
    <row r="1602" spans="1:11" ht="42.75" x14ac:dyDescent="0.25">
      <c r="A1602" s="83">
        <v>108</v>
      </c>
      <c r="B1602" s="84" t="s">
        <v>3506</v>
      </c>
      <c r="C1602" s="83" t="s">
        <v>0</v>
      </c>
      <c r="D1602" s="84"/>
      <c r="E1602" s="85">
        <v>32999</v>
      </c>
      <c r="F1602" s="83">
        <v>7</v>
      </c>
      <c r="G1602" s="84" t="s">
        <v>952</v>
      </c>
      <c r="H1602" s="84" t="s">
        <v>3507</v>
      </c>
      <c r="I1602" s="84" t="s">
        <v>66</v>
      </c>
      <c r="J1602" s="84" t="s">
        <v>954</v>
      </c>
      <c r="K1602" s="84" t="s">
        <v>5943</v>
      </c>
    </row>
    <row r="1603" spans="1:11" ht="57" x14ac:dyDescent="0.25">
      <c r="A1603" s="83">
        <v>108</v>
      </c>
      <c r="B1603" s="84" t="s">
        <v>3492</v>
      </c>
      <c r="C1603" s="83" t="s">
        <v>0</v>
      </c>
      <c r="D1603" s="84"/>
      <c r="E1603" s="85">
        <v>70000</v>
      </c>
      <c r="F1603" s="83">
        <v>7</v>
      </c>
      <c r="G1603" s="84" t="s">
        <v>3504</v>
      </c>
      <c r="H1603" s="84" t="s">
        <v>3505</v>
      </c>
      <c r="I1603" s="84" t="s">
        <v>66</v>
      </c>
      <c r="J1603" s="84" t="s">
        <v>954</v>
      </c>
      <c r="K1603" s="84" t="s">
        <v>5944</v>
      </c>
    </row>
    <row r="1604" spans="1:11" ht="57" x14ac:dyDescent="0.25">
      <c r="A1604" s="83">
        <v>108</v>
      </c>
      <c r="B1604" s="84" t="s">
        <v>3508</v>
      </c>
      <c r="C1604" s="83" t="s">
        <v>0</v>
      </c>
      <c r="D1604" s="84"/>
      <c r="E1604" s="85">
        <v>440891</v>
      </c>
      <c r="F1604" s="83">
        <v>7</v>
      </c>
      <c r="G1604" s="84" t="s">
        <v>3509</v>
      </c>
      <c r="H1604" s="84" t="s">
        <v>3510</v>
      </c>
      <c r="I1604" s="84" t="s">
        <v>849</v>
      </c>
      <c r="J1604" s="84" t="s">
        <v>976</v>
      </c>
      <c r="K1604" s="84" t="s">
        <v>6463</v>
      </c>
    </row>
    <row r="1605" spans="1:11" ht="42.75" x14ac:dyDescent="0.25">
      <c r="A1605" s="83">
        <v>108</v>
      </c>
      <c r="B1605" s="84" t="s">
        <v>3508</v>
      </c>
      <c r="C1605" s="83" t="s">
        <v>0</v>
      </c>
      <c r="D1605" s="84"/>
      <c r="E1605" s="85">
        <v>538867</v>
      </c>
      <c r="F1605" s="83">
        <v>7</v>
      </c>
      <c r="G1605" s="84" t="s">
        <v>5780</v>
      </c>
      <c r="H1605" s="84" t="s">
        <v>5781</v>
      </c>
      <c r="I1605" s="84" t="s">
        <v>849</v>
      </c>
      <c r="J1605" s="84" t="s">
        <v>976</v>
      </c>
      <c r="K1605" s="20" t="s">
        <v>6464</v>
      </c>
    </row>
    <row r="1606" spans="1:11" ht="57" x14ac:dyDescent="0.25">
      <c r="A1606" s="83">
        <v>108</v>
      </c>
      <c r="B1606" s="84" t="s">
        <v>3492</v>
      </c>
      <c r="C1606" s="83" t="s">
        <v>0</v>
      </c>
      <c r="D1606" s="84"/>
      <c r="E1606" s="85">
        <v>35200</v>
      </c>
      <c r="F1606" s="83">
        <v>7</v>
      </c>
      <c r="G1606" s="84" t="s">
        <v>3511</v>
      </c>
      <c r="H1606" s="84" t="s">
        <v>3512</v>
      </c>
      <c r="I1606" s="84" t="s">
        <v>66</v>
      </c>
      <c r="J1606" s="84" t="s">
        <v>954</v>
      </c>
      <c r="K1606" s="84" t="s">
        <v>6054</v>
      </c>
    </row>
    <row r="1607" spans="1:11" ht="42.75" x14ac:dyDescent="0.25">
      <c r="A1607" s="83">
        <v>108</v>
      </c>
      <c r="B1607" s="84" t="s">
        <v>3513</v>
      </c>
      <c r="C1607" s="83" t="s">
        <v>0</v>
      </c>
      <c r="D1607" s="84"/>
      <c r="E1607" s="85">
        <v>49333</v>
      </c>
      <c r="F1607" s="83">
        <v>7</v>
      </c>
      <c r="G1607" s="84" t="s">
        <v>3514</v>
      </c>
      <c r="H1607" s="84" t="s">
        <v>3314</v>
      </c>
      <c r="I1607" s="84" t="s">
        <v>17</v>
      </c>
      <c r="J1607" s="84" t="s">
        <v>3515</v>
      </c>
      <c r="K1607" s="84" t="str">
        <f>"00050369"</f>
        <v>00050369</v>
      </c>
    </row>
    <row r="1608" spans="1:11" ht="71.25" x14ac:dyDescent="0.25">
      <c r="A1608" s="83">
        <v>108</v>
      </c>
      <c r="B1608" s="84" t="s">
        <v>3558</v>
      </c>
      <c r="C1608" s="83" t="s">
        <v>0</v>
      </c>
      <c r="D1608" s="84"/>
      <c r="E1608" s="85">
        <v>95829</v>
      </c>
      <c r="F1608" s="83">
        <v>7</v>
      </c>
      <c r="G1608" s="84" t="s">
        <v>3559</v>
      </c>
      <c r="H1608" s="84" t="s">
        <v>1585</v>
      </c>
      <c r="I1608" s="84" t="s">
        <v>1586</v>
      </c>
      <c r="J1608" s="84" t="s">
        <v>1587</v>
      </c>
      <c r="K1608" s="84" t="s">
        <v>6465</v>
      </c>
    </row>
    <row r="1609" spans="1:11" ht="57" x14ac:dyDescent="0.25">
      <c r="A1609" s="83">
        <v>108</v>
      </c>
      <c r="B1609" s="84" t="s">
        <v>3558</v>
      </c>
      <c r="C1609" s="83" t="s">
        <v>0</v>
      </c>
      <c r="D1609" s="84"/>
      <c r="E1609" s="85">
        <v>78213</v>
      </c>
      <c r="F1609" s="83">
        <v>7</v>
      </c>
      <c r="G1609" s="84" t="s">
        <v>3559</v>
      </c>
      <c r="H1609" s="84" t="s">
        <v>3560</v>
      </c>
      <c r="I1609" s="84" t="s">
        <v>185</v>
      </c>
      <c r="J1609" s="84" t="s">
        <v>774</v>
      </c>
      <c r="K1609" s="84" t="s">
        <v>6466</v>
      </c>
    </row>
    <row r="1610" spans="1:11" ht="57" x14ac:dyDescent="0.25">
      <c r="A1610" s="83">
        <v>108</v>
      </c>
      <c r="B1610" s="84" t="s">
        <v>3558</v>
      </c>
      <c r="C1610" s="83" t="s">
        <v>0</v>
      </c>
      <c r="D1610" s="84"/>
      <c r="E1610" s="85">
        <v>84259</v>
      </c>
      <c r="F1610" s="83">
        <v>7</v>
      </c>
      <c r="G1610" s="84" t="s">
        <v>3559</v>
      </c>
      <c r="H1610" s="84" t="s">
        <v>3561</v>
      </c>
      <c r="I1610" s="84" t="s">
        <v>185</v>
      </c>
      <c r="J1610" s="84" t="s">
        <v>774</v>
      </c>
      <c r="K1610" s="84" t="s">
        <v>6467</v>
      </c>
    </row>
    <row r="1611" spans="1:11" ht="57" x14ac:dyDescent="0.25">
      <c r="A1611" s="83">
        <v>108</v>
      </c>
      <c r="B1611" s="84" t="s">
        <v>3558</v>
      </c>
      <c r="C1611" s="83" t="s">
        <v>0</v>
      </c>
      <c r="D1611" s="84"/>
      <c r="E1611" s="85">
        <v>78213</v>
      </c>
      <c r="F1611" s="83">
        <v>7</v>
      </c>
      <c r="G1611" s="84" t="s">
        <v>3559</v>
      </c>
      <c r="H1611" s="84" t="s">
        <v>3560</v>
      </c>
      <c r="I1611" s="84" t="s">
        <v>185</v>
      </c>
      <c r="J1611" s="84" t="s">
        <v>774</v>
      </c>
      <c r="K1611" s="84" t="s">
        <v>6468</v>
      </c>
    </row>
    <row r="1612" spans="1:11" ht="57" x14ac:dyDescent="0.25">
      <c r="A1612" s="83">
        <v>108</v>
      </c>
      <c r="B1612" s="84" t="s">
        <v>3562</v>
      </c>
      <c r="C1612" s="83" t="s">
        <v>0</v>
      </c>
      <c r="D1612" s="84"/>
      <c r="E1612" s="85">
        <v>44800</v>
      </c>
      <c r="F1612" s="83">
        <v>7</v>
      </c>
      <c r="G1612" s="84" t="s">
        <v>3563</v>
      </c>
      <c r="H1612" s="84" t="s">
        <v>3564</v>
      </c>
      <c r="I1612" s="84" t="s">
        <v>17</v>
      </c>
      <c r="J1612" s="84" t="s">
        <v>3515</v>
      </c>
      <c r="K1612" s="84" t="str">
        <f>"00050231"</f>
        <v>00050231</v>
      </c>
    </row>
    <row r="1613" spans="1:11" ht="99.75" x14ac:dyDescent="0.25">
      <c r="A1613" s="83">
        <v>108</v>
      </c>
      <c r="B1613" s="84" t="s">
        <v>4176</v>
      </c>
      <c r="C1613" s="83" t="s">
        <v>0</v>
      </c>
      <c r="D1613" s="84"/>
      <c r="E1613" s="85">
        <v>80000</v>
      </c>
      <c r="F1613" s="83">
        <v>7</v>
      </c>
      <c r="G1613" s="84" t="s">
        <v>4684</v>
      </c>
      <c r="H1613" s="84" t="s">
        <v>4685</v>
      </c>
      <c r="I1613" s="84" t="s">
        <v>66</v>
      </c>
      <c r="J1613" s="84" t="s">
        <v>4686</v>
      </c>
      <c r="K1613" s="84" t="str">
        <f>"00051231"</f>
        <v>00051231</v>
      </c>
    </row>
    <row r="1614" spans="1:11" ht="42.75" x14ac:dyDescent="0.25">
      <c r="A1614" s="83">
        <v>108</v>
      </c>
      <c r="B1614" s="84" t="s">
        <v>4176</v>
      </c>
      <c r="C1614" s="83" t="s">
        <v>0</v>
      </c>
      <c r="D1614" s="84"/>
      <c r="E1614" s="85">
        <v>55000</v>
      </c>
      <c r="F1614" s="83">
        <v>7</v>
      </c>
      <c r="G1614" s="84" t="s">
        <v>5677</v>
      </c>
      <c r="H1614" s="84" t="s">
        <v>5678</v>
      </c>
      <c r="I1614" s="84" t="s">
        <v>66</v>
      </c>
      <c r="J1614" s="84" t="s">
        <v>954</v>
      </c>
      <c r="K1614" s="84" t="str">
        <f>"00052786"</f>
        <v>00052786</v>
      </c>
    </row>
    <row r="1615" spans="1:11" ht="57" x14ac:dyDescent="0.25">
      <c r="A1615" s="83">
        <v>108</v>
      </c>
      <c r="B1615" s="84" t="s">
        <v>4176</v>
      </c>
      <c r="C1615" s="83" t="s">
        <v>0</v>
      </c>
      <c r="D1615" s="84"/>
      <c r="E1615" s="85">
        <v>32000</v>
      </c>
      <c r="F1615" s="83">
        <v>7</v>
      </c>
      <c r="G1615" s="84" t="s">
        <v>4619</v>
      </c>
      <c r="H1615" s="84" t="s">
        <v>4620</v>
      </c>
      <c r="I1615" s="84" t="s">
        <v>94</v>
      </c>
      <c r="J1615" s="84" t="s">
        <v>957</v>
      </c>
      <c r="K1615" s="84" t="str">
        <f>"00052294"</f>
        <v>00052294</v>
      </c>
    </row>
    <row r="1616" spans="1:11" ht="57" x14ac:dyDescent="0.25">
      <c r="A1616" s="83">
        <v>108</v>
      </c>
      <c r="B1616" s="84" t="s">
        <v>4176</v>
      </c>
      <c r="C1616" s="83" t="s">
        <v>0</v>
      </c>
      <c r="D1616" s="84"/>
      <c r="E1616" s="85">
        <v>49000</v>
      </c>
      <c r="F1616" s="83">
        <v>7</v>
      </c>
      <c r="G1616" s="84" t="s">
        <v>4629</v>
      </c>
      <c r="H1616" s="84" t="s">
        <v>4630</v>
      </c>
      <c r="I1616" s="84" t="s">
        <v>94</v>
      </c>
      <c r="J1616" s="84" t="s">
        <v>957</v>
      </c>
      <c r="K1616" s="84" t="str">
        <f>"00049179"</f>
        <v>00049179</v>
      </c>
    </row>
    <row r="1617" spans="1:11" ht="71.25" x14ac:dyDescent="0.25">
      <c r="A1617" s="83">
        <v>108</v>
      </c>
      <c r="B1617" s="84" t="s">
        <v>4176</v>
      </c>
      <c r="C1617" s="83" t="s">
        <v>0</v>
      </c>
      <c r="D1617" s="84"/>
      <c r="E1617" s="85">
        <v>109075</v>
      </c>
      <c r="F1617" s="83">
        <v>7</v>
      </c>
      <c r="G1617" s="84" t="s">
        <v>4627</v>
      </c>
      <c r="H1617" s="84" t="s">
        <v>3505</v>
      </c>
      <c r="I1617" s="84" t="s">
        <v>3546</v>
      </c>
      <c r="J1617" s="84" t="s">
        <v>4628</v>
      </c>
      <c r="K1617" s="84" t="str">
        <f>"00048855"</f>
        <v>00048855</v>
      </c>
    </row>
    <row r="1618" spans="1:11" ht="99.75" x14ac:dyDescent="0.25">
      <c r="A1618" s="83">
        <v>108</v>
      </c>
      <c r="B1618" s="84" t="s">
        <v>4176</v>
      </c>
      <c r="C1618" s="83" t="s">
        <v>0</v>
      </c>
      <c r="D1618" s="84"/>
      <c r="E1618" s="85">
        <v>80000</v>
      </c>
      <c r="F1618" s="83">
        <v>7</v>
      </c>
      <c r="G1618" s="84" t="s">
        <v>5679</v>
      </c>
      <c r="H1618" s="84" t="s">
        <v>4685</v>
      </c>
      <c r="I1618" s="84" t="s">
        <v>66</v>
      </c>
      <c r="J1618" s="84" t="s">
        <v>4686</v>
      </c>
      <c r="K1618" s="84" t="str">
        <f>"00051822"</f>
        <v>00051822</v>
      </c>
    </row>
    <row r="1619" spans="1:11" ht="57" x14ac:dyDescent="0.25">
      <c r="A1619" s="83">
        <v>108</v>
      </c>
      <c r="B1619" s="84" t="s">
        <v>4176</v>
      </c>
      <c r="C1619" s="83" t="s">
        <v>0</v>
      </c>
      <c r="D1619" s="84"/>
      <c r="E1619" s="85">
        <v>32627</v>
      </c>
      <c r="F1619" s="83">
        <v>7</v>
      </c>
      <c r="G1619" s="84" t="s">
        <v>4622</v>
      </c>
      <c r="H1619" s="84" t="s">
        <v>4623</v>
      </c>
      <c r="I1619" s="84" t="s">
        <v>1486</v>
      </c>
      <c r="J1619" s="84" t="s">
        <v>4624</v>
      </c>
      <c r="K1619" s="84" t="str">
        <f>"00047987"</f>
        <v>00047987</v>
      </c>
    </row>
    <row r="1620" spans="1:11" ht="42.75" x14ac:dyDescent="0.25">
      <c r="A1620" s="83">
        <v>108</v>
      </c>
      <c r="B1620" s="84" t="s">
        <v>4176</v>
      </c>
      <c r="C1620" s="83" t="s">
        <v>0</v>
      </c>
      <c r="D1620" s="84"/>
      <c r="E1620" s="85">
        <v>70000</v>
      </c>
      <c r="F1620" s="83">
        <v>7</v>
      </c>
      <c r="G1620" s="84" t="s">
        <v>4626</v>
      </c>
      <c r="H1620" s="84" t="s">
        <v>3505</v>
      </c>
      <c r="I1620" s="84" t="s">
        <v>66</v>
      </c>
      <c r="J1620" s="84" t="s">
        <v>954</v>
      </c>
      <c r="K1620" s="84" t="str">
        <f>"00048857"</f>
        <v>00048857</v>
      </c>
    </row>
    <row r="1621" spans="1:11" ht="42.75" x14ac:dyDescent="0.25">
      <c r="A1621" s="83">
        <v>108</v>
      </c>
      <c r="B1621" s="84" t="s">
        <v>4176</v>
      </c>
      <c r="C1621" s="83" t="s">
        <v>0</v>
      </c>
      <c r="D1621" s="84"/>
      <c r="E1621" s="85">
        <v>27000</v>
      </c>
      <c r="F1621" s="83">
        <v>7</v>
      </c>
      <c r="G1621" s="84" t="s">
        <v>4687</v>
      </c>
      <c r="H1621" s="84" t="s">
        <v>3535</v>
      </c>
      <c r="I1621" s="84" t="s">
        <v>94</v>
      </c>
      <c r="J1621" s="84" t="s">
        <v>957</v>
      </c>
      <c r="K1621" s="84" t="str">
        <f>"00051960"</f>
        <v>00051960</v>
      </c>
    </row>
    <row r="1622" spans="1:11" ht="57" x14ac:dyDescent="0.25">
      <c r="A1622" s="83">
        <v>108</v>
      </c>
      <c r="B1622" s="84" t="s">
        <v>4208</v>
      </c>
      <c r="C1622" s="83" t="s">
        <v>0</v>
      </c>
      <c r="D1622" s="84"/>
      <c r="E1622" s="85">
        <v>37641</v>
      </c>
      <c r="F1622" s="83">
        <v>7</v>
      </c>
      <c r="G1622" s="84" t="s">
        <v>4649</v>
      </c>
      <c r="H1622" s="84" t="s">
        <v>4650</v>
      </c>
      <c r="I1622" s="84" t="s">
        <v>80</v>
      </c>
      <c r="J1622" s="84" t="s">
        <v>80</v>
      </c>
      <c r="K1622" s="84" t="str">
        <f>"00048499"</f>
        <v>00048499</v>
      </c>
    </row>
    <row r="1623" spans="1:11" ht="57" x14ac:dyDescent="0.25">
      <c r="A1623" s="83">
        <v>108</v>
      </c>
      <c r="B1623" s="84" t="s">
        <v>4665</v>
      </c>
      <c r="C1623" s="83" t="s">
        <v>0</v>
      </c>
      <c r="D1623" s="84"/>
      <c r="E1623" s="85">
        <v>327036</v>
      </c>
      <c r="F1623" s="83">
        <v>7</v>
      </c>
      <c r="G1623" s="84" t="s">
        <v>3418</v>
      </c>
      <c r="H1623" s="84" t="s">
        <v>3419</v>
      </c>
      <c r="I1623" s="84" t="s">
        <v>32</v>
      </c>
      <c r="J1623" s="84" t="s">
        <v>3420</v>
      </c>
      <c r="K1623" s="84" t="str">
        <f>"00046724"</f>
        <v>00046724</v>
      </c>
    </row>
    <row r="1624" spans="1:11" ht="42.75" x14ac:dyDescent="0.25">
      <c r="A1624" s="83">
        <v>108</v>
      </c>
      <c r="B1624" s="84" t="s">
        <v>4208</v>
      </c>
      <c r="C1624" s="83" t="s">
        <v>0</v>
      </c>
      <c r="D1624" s="84"/>
      <c r="E1624" s="85">
        <v>80500</v>
      </c>
      <c r="F1624" s="83">
        <v>7</v>
      </c>
      <c r="G1624" s="84" t="s">
        <v>4644</v>
      </c>
      <c r="H1624" s="84" t="s">
        <v>4645</v>
      </c>
      <c r="I1624" s="84" t="s">
        <v>66</v>
      </c>
      <c r="J1624" s="84" t="s">
        <v>954</v>
      </c>
      <c r="K1624" s="84" t="str">
        <f>"00047943"</f>
        <v>00047943</v>
      </c>
    </row>
    <row r="1625" spans="1:11" ht="57" x14ac:dyDescent="0.25">
      <c r="A1625" s="83">
        <v>108</v>
      </c>
      <c r="B1625" s="84" t="s">
        <v>4208</v>
      </c>
      <c r="C1625" s="83" t="s">
        <v>0</v>
      </c>
      <c r="D1625" s="84"/>
      <c r="E1625" s="85">
        <v>40000</v>
      </c>
      <c r="F1625" s="83">
        <v>7</v>
      </c>
      <c r="G1625" s="84" t="s">
        <v>4633</v>
      </c>
      <c r="H1625" s="84" t="s">
        <v>4634</v>
      </c>
      <c r="I1625" s="84" t="s">
        <v>80</v>
      </c>
      <c r="J1625" s="84" t="s">
        <v>80</v>
      </c>
      <c r="K1625" s="84" t="str">
        <f>"00048357"</f>
        <v>00048357</v>
      </c>
    </row>
    <row r="1626" spans="1:11" ht="57" x14ac:dyDescent="0.25">
      <c r="A1626" s="83">
        <v>108</v>
      </c>
      <c r="B1626" s="84" t="s">
        <v>4208</v>
      </c>
      <c r="C1626" s="83" t="s">
        <v>0</v>
      </c>
      <c r="D1626" s="84"/>
      <c r="E1626" s="85">
        <v>40000</v>
      </c>
      <c r="F1626" s="83">
        <v>7</v>
      </c>
      <c r="G1626" s="84" t="s">
        <v>4635</v>
      </c>
      <c r="H1626" s="84" t="s">
        <v>269</v>
      </c>
      <c r="I1626" s="84" t="s">
        <v>80</v>
      </c>
      <c r="J1626" s="84" t="s">
        <v>80</v>
      </c>
      <c r="K1626" s="84" t="str">
        <f>"00048391"</f>
        <v>00048391</v>
      </c>
    </row>
    <row r="1627" spans="1:11" ht="57" x14ac:dyDescent="0.25">
      <c r="A1627" s="83">
        <v>108</v>
      </c>
      <c r="B1627" s="84" t="s">
        <v>4208</v>
      </c>
      <c r="C1627" s="83" t="s">
        <v>0</v>
      </c>
      <c r="D1627" s="84"/>
      <c r="E1627" s="85">
        <v>37000</v>
      </c>
      <c r="F1627" s="83">
        <v>7</v>
      </c>
      <c r="G1627" s="84" t="s">
        <v>4639</v>
      </c>
      <c r="H1627" s="84" t="s">
        <v>4640</v>
      </c>
      <c r="I1627" s="84" t="s">
        <v>80</v>
      </c>
      <c r="J1627" s="84" t="s">
        <v>80</v>
      </c>
      <c r="K1627" s="84" t="str">
        <f>"00048390"</f>
        <v>00048390</v>
      </c>
    </row>
    <row r="1628" spans="1:11" ht="71.25" x14ac:dyDescent="0.25">
      <c r="A1628" s="83">
        <v>108</v>
      </c>
      <c r="B1628" s="84" t="s">
        <v>4176</v>
      </c>
      <c r="C1628" s="83" t="s">
        <v>0</v>
      </c>
      <c r="D1628" s="84"/>
      <c r="E1628" s="85">
        <v>67000</v>
      </c>
      <c r="F1628" s="83">
        <v>7</v>
      </c>
      <c r="G1628" s="84" t="s">
        <v>5680</v>
      </c>
      <c r="H1628" s="84" t="s">
        <v>5681</v>
      </c>
      <c r="I1628" s="84" t="s">
        <v>5682</v>
      </c>
      <c r="J1628" s="84" t="s">
        <v>5683</v>
      </c>
      <c r="K1628" s="84" t="str">
        <f>"00052802"</f>
        <v>00052802</v>
      </c>
    </row>
    <row r="1629" spans="1:11" ht="99.75" x14ac:dyDescent="0.25">
      <c r="A1629" s="83">
        <v>108</v>
      </c>
      <c r="B1629" s="84" t="s">
        <v>4176</v>
      </c>
      <c r="C1629" s="83" t="s">
        <v>0</v>
      </c>
      <c r="D1629" s="84"/>
      <c r="E1629" s="85">
        <v>186823</v>
      </c>
      <c r="F1629" s="83">
        <v>7</v>
      </c>
      <c r="G1629" s="84" t="s">
        <v>5782</v>
      </c>
      <c r="H1629" s="84" t="s">
        <v>5783</v>
      </c>
      <c r="I1629" s="84" t="s">
        <v>5784</v>
      </c>
      <c r="J1629" s="84" t="s">
        <v>5785</v>
      </c>
      <c r="K1629" s="20" t="s">
        <v>6594</v>
      </c>
    </row>
    <row r="1630" spans="1:11" x14ac:dyDescent="0.25">
      <c r="A1630" s="88">
        <v>108</v>
      </c>
      <c r="B1630" s="89" t="s">
        <v>883</v>
      </c>
      <c r="C1630" s="88" t="s">
        <v>0</v>
      </c>
      <c r="D1630" s="95">
        <v>30000</v>
      </c>
      <c r="E1630" s="90"/>
      <c r="F1630" s="88">
        <v>7</v>
      </c>
      <c r="G1630" s="89" t="s">
        <v>889</v>
      </c>
      <c r="H1630" s="89"/>
      <c r="I1630" s="89" t="s">
        <v>885</v>
      </c>
      <c r="J1630" s="89"/>
      <c r="K1630" s="89" t="str">
        <f>"　"</f>
        <v>　</v>
      </c>
    </row>
    <row r="1631" spans="1:11" ht="42.75" x14ac:dyDescent="0.25">
      <c r="A1631" s="88">
        <v>108</v>
      </c>
      <c r="B1631" s="89" t="s">
        <v>883</v>
      </c>
      <c r="C1631" s="88" t="s">
        <v>0</v>
      </c>
      <c r="D1631" s="95"/>
      <c r="E1631" s="90">
        <v>30000</v>
      </c>
      <c r="F1631" s="88">
        <v>7</v>
      </c>
      <c r="G1631" s="89" t="s">
        <v>3339</v>
      </c>
      <c r="H1631" s="89" t="s">
        <v>3340</v>
      </c>
      <c r="I1631" s="89" t="s">
        <v>242</v>
      </c>
      <c r="J1631" s="89" t="s">
        <v>243</v>
      </c>
      <c r="K1631" s="89" t="str">
        <f>"00051142"</f>
        <v>00051142</v>
      </c>
    </row>
    <row r="1632" spans="1:11" ht="28.5" x14ac:dyDescent="0.25">
      <c r="A1632" s="88">
        <v>108</v>
      </c>
      <c r="B1632" s="89" t="s">
        <v>883</v>
      </c>
      <c r="C1632" s="88" t="s">
        <v>0</v>
      </c>
      <c r="D1632" s="95">
        <v>43705</v>
      </c>
      <c r="E1632" s="90"/>
      <c r="F1632" s="88">
        <v>7</v>
      </c>
      <c r="G1632" s="89" t="s">
        <v>892</v>
      </c>
      <c r="H1632" s="89"/>
      <c r="I1632" s="89" t="s">
        <v>885</v>
      </c>
      <c r="J1632" s="89"/>
      <c r="K1632" s="89" t="str">
        <f>"　"</f>
        <v>　</v>
      </c>
    </row>
    <row r="1633" spans="1:11" ht="42.75" x14ac:dyDescent="0.25">
      <c r="A1633" s="88">
        <v>108</v>
      </c>
      <c r="B1633" s="89" t="s">
        <v>883</v>
      </c>
      <c r="C1633" s="88" t="s">
        <v>0</v>
      </c>
      <c r="D1633" s="95"/>
      <c r="E1633" s="90">
        <v>43705</v>
      </c>
      <c r="F1633" s="88">
        <v>7</v>
      </c>
      <c r="G1633" s="89" t="s">
        <v>3421</v>
      </c>
      <c r="H1633" s="89" t="s">
        <v>3422</v>
      </c>
      <c r="I1633" s="89" t="s">
        <v>787</v>
      </c>
      <c r="J1633" s="89" t="s">
        <v>3423</v>
      </c>
      <c r="K1633" s="89" t="str">
        <f>"00049895"</f>
        <v>00049895</v>
      </c>
    </row>
    <row r="1634" spans="1:11" ht="28.5" x14ac:dyDescent="0.25">
      <c r="A1634" s="88">
        <v>108</v>
      </c>
      <c r="B1634" s="89" t="s">
        <v>12</v>
      </c>
      <c r="C1634" s="88" t="s">
        <v>0</v>
      </c>
      <c r="D1634" s="90">
        <v>30090000</v>
      </c>
      <c r="E1634" s="90"/>
      <c r="F1634" s="88">
        <v>7</v>
      </c>
      <c r="G1634" s="89" t="s">
        <v>52</v>
      </c>
      <c r="H1634" s="89"/>
      <c r="I1634" s="89" t="s">
        <v>921</v>
      </c>
      <c r="J1634" s="89"/>
      <c r="K1634" s="89" t="str">
        <f>"　"</f>
        <v>　</v>
      </c>
    </row>
    <row r="1635" spans="1:11" ht="85.5" x14ac:dyDescent="0.25">
      <c r="A1635" s="88">
        <v>108</v>
      </c>
      <c r="B1635" s="89" t="s">
        <v>3565</v>
      </c>
      <c r="C1635" s="88" t="s">
        <v>0</v>
      </c>
      <c r="D1635" s="95"/>
      <c r="E1635" s="90">
        <v>113998</v>
      </c>
      <c r="F1635" s="88">
        <v>7</v>
      </c>
      <c r="G1635" s="89" t="s">
        <v>3566</v>
      </c>
      <c r="H1635" s="89" t="s">
        <v>1699</v>
      </c>
      <c r="I1635" s="89" t="s">
        <v>237</v>
      </c>
      <c r="J1635" s="89" t="s">
        <v>1700</v>
      </c>
      <c r="K1635" s="89" t="s">
        <v>5946</v>
      </c>
    </row>
    <row r="1636" spans="1:11" ht="71.25" x14ac:dyDescent="0.25">
      <c r="A1636" s="83">
        <v>108</v>
      </c>
      <c r="B1636" s="84" t="s">
        <v>5786</v>
      </c>
      <c r="C1636" s="83" t="s">
        <v>0</v>
      </c>
      <c r="D1636" s="118"/>
      <c r="E1636" s="51">
        <v>123938</v>
      </c>
      <c r="F1636" s="83">
        <v>7</v>
      </c>
      <c r="G1636" s="84" t="s">
        <v>5787</v>
      </c>
      <c r="H1636" s="84" t="s">
        <v>5788</v>
      </c>
      <c r="I1636" s="84" t="s">
        <v>5789</v>
      </c>
      <c r="J1636" s="84" t="s">
        <v>5790</v>
      </c>
      <c r="K1636" s="84" t="s">
        <v>5945</v>
      </c>
    </row>
    <row r="1637" spans="1:11" x14ac:dyDescent="0.25">
      <c r="A1637" s="21">
        <v>108</v>
      </c>
      <c r="B1637" s="22" t="s">
        <v>883</v>
      </c>
      <c r="C1637" s="21" t="s">
        <v>0</v>
      </c>
      <c r="D1637" s="24">
        <v>28747</v>
      </c>
      <c r="E1637" s="23"/>
      <c r="F1637" s="21">
        <v>7</v>
      </c>
      <c r="G1637" s="22" t="s">
        <v>889</v>
      </c>
      <c r="H1637" s="22"/>
      <c r="I1637" s="22" t="s">
        <v>885</v>
      </c>
      <c r="J1637" s="22"/>
      <c r="K1637" s="22" t="str">
        <f>"　"</f>
        <v>　</v>
      </c>
    </row>
    <row r="1638" spans="1:11" ht="42.75" x14ac:dyDescent="0.25">
      <c r="A1638" s="21">
        <v>108</v>
      </c>
      <c r="B1638" s="22" t="s">
        <v>883</v>
      </c>
      <c r="C1638" s="21" t="s">
        <v>0</v>
      </c>
      <c r="D1638" s="24"/>
      <c r="E1638" s="23">
        <v>28747</v>
      </c>
      <c r="F1638" s="21">
        <v>7</v>
      </c>
      <c r="G1638" s="22" t="s">
        <v>4802</v>
      </c>
      <c r="H1638" s="22" t="s">
        <v>2681</v>
      </c>
      <c r="I1638" s="22" t="s">
        <v>135</v>
      </c>
      <c r="J1638" s="22" t="s">
        <v>3351</v>
      </c>
      <c r="K1638" s="22" t="str">
        <f>"00050032"</f>
        <v>00050032</v>
      </c>
    </row>
    <row r="1639" spans="1:11" ht="28.5" x14ac:dyDescent="0.25">
      <c r="A1639" s="21">
        <v>108</v>
      </c>
      <c r="B1639" s="22" t="s">
        <v>883</v>
      </c>
      <c r="C1639" s="21" t="s">
        <v>0</v>
      </c>
      <c r="D1639" s="24">
        <v>96830</v>
      </c>
      <c r="E1639" s="23"/>
      <c r="F1639" s="21">
        <v>7</v>
      </c>
      <c r="G1639" s="22" t="s">
        <v>892</v>
      </c>
      <c r="H1639" s="22"/>
      <c r="I1639" s="22" t="s">
        <v>885</v>
      </c>
      <c r="J1639" s="22"/>
      <c r="K1639" s="22" t="str">
        <f>"　"</f>
        <v>　</v>
      </c>
    </row>
    <row r="1640" spans="1:11" ht="42.75" x14ac:dyDescent="0.25">
      <c r="A1640" s="21">
        <v>108</v>
      </c>
      <c r="B1640" s="22" t="s">
        <v>883</v>
      </c>
      <c r="C1640" s="21" t="s">
        <v>0</v>
      </c>
      <c r="D1640" s="24"/>
      <c r="E1640" s="23">
        <v>96830</v>
      </c>
      <c r="F1640" s="21">
        <v>7</v>
      </c>
      <c r="G1640" s="22" t="s">
        <v>3425</v>
      </c>
      <c r="H1640" s="22" t="s">
        <v>3426</v>
      </c>
      <c r="I1640" s="22" t="s">
        <v>66</v>
      </c>
      <c r="J1640" s="22" t="s">
        <v>99</v>
      </c>
      <c r="K1640" s="22" t="str">
        <f>"00045383"</f>
        <v>00045383</v>
      </c>
    </row>
    <row r="1641" spans="1:11" ht="28.5" x14ac:dyDescent="0.25">
      <c r="A1641" s="21">
        <v>108</v>
      </c>
      <c r="B1641" s="22" t="s">
        <v>12</v>
      </c>
      <c r="C1641" s="21" t="s">
        <v>0</v>
      </c>
      <c r="D1641" s="23">
        <v>30090000</v>
      </c>
      <c r="E1641" s="23"/>
      <c r="F1641" s="21">
        <v>7</v>
      </c>
      <c r="G1641" s="22" t="s">
        <v>52</v>
      </c>
      <c r="H1641" s="22"/>
      <c r="I1641" s="22" t="s">
        <v>921</v>
      </c>
      <c r="J1641" s="22"/>
      <c r="K1641" s="22" t="str">
        <f>"　"</f>
        <v>　</v>
      </c>
    </row>
    <row r="1642" spans="1:11" ht="42.75" x14ac:dyDescent="0.25">
      <c r="A1642" s="21">
        <v>108</v>
      </c>
      <c r="B1642" s="22" t="s">
        <v>1059</v>
      </c>
      <c r="C1642" s="21" t="s">
        <v>0</v>
      </c>
      <c r="D1642" s="24"/>
      <c r="E1642" s="23">
        <v>20000</v>
      </c>
      <c r="F1642" s="21">
        <v>7</v>
      </c>
      <c r="G1642" s="22" t="s">
        <v>1060</v>
      </c>
      <c r="H1642" s="22" t="s">
        <v>1061</v>
      </c>
      <c r="I1642" s="22" t="s">
        <v>66</v>
      </c>
      <c r="J1642" s="22" t="s">
        <v>634</v>
      </c>
      <c r="K1642" s="22" t="str">
        <f>"00048916"</f>
        <v>00048916</v>
      </c>
    </row>
    <row r="1643" spans="1:11" ht="42.75" x14ac:dyDescent="0.25">
      <c r="A1643" s="21">
        <v>108</v>
      </c>
      <c r="B1643" s="22" t="s">
        <v>343</v>
      </c>
      <c r="C1643" s="21" t="s">
        <v>0</v>
      </c>
      <c r="D1643" s="24"/>
      <c r="E1643" s="23">
        <v>51685</v>
      </c>
      <c r="F1643" s="21">
        <v>7</v>
      </c>
      <c r="G1643" s="22" t="s">
        <v>1056</v>
      </c>
      <c r="H1643" s="22" t="s">
        <v>1057</v>
      </c>
      <c r="I1643" s="22" t="s">
        <v>66</v>
      </c>
      <c r="J1643" s="22" t="s">
        <v>1058</v>
      </c>
      <c r="K1643" s="22" t="str">
        <f>"00048428"</f>
        <v>00048428</v>
      </c>
    </row>
    <row r="1644" spans="1:11" ht="57" x14ac:dyDescent="0.25">
      <c r="A1644" s="21">
        <v>108</v>
      </c>
      <c r="B1644" s="22" t="s">
        <v>3664</v>
      </c>
      <c r="C1644" s="21" t="s">
        <v>0</v>
      </c>
      <c r="D1644" s="24"/>
      <c r="E1644" s="23">
        <v>20000</v>
      </c>
      <c r="F1644" s="21">
        <v>7</v>
      </c>
      <c r="G1644" s="22" t="s">
        <v>3665</v>
      </c>
      <c r="H1644" s="22" t="s">
        <v>3666</v>
      </c>
      <c r="I1644" s="22" t="s">
        <v>66</v>
      </c>
      <c r="J1644" s="22" t="s">
        <v>634</v>
      </c>
      <c r="K1644" s="22" t="str">
        <f>"00052982"</f>
        <v>00052982</v>
      </c>
    </row>
    <row r="1645" spans="1:11" ht="99.75" x14ac:dyDescent="0.25">
      <c r="A1645" s="21">
        <v>107</v>
      </c>
      <c r="B1645" s="22" t="s">
        <v>4803</v>
      </c>
      <c r="C1645" s="21" t="s">
        <v>0</v>
      </c>
      <c r="D1645" s="24"/>
      <c r="E1645" s="23">
        <v>-617</v>
      </c>
      <c r="F1645" s="21">
        <v>7</v>
      </c>
      <c r="G1645" s="22" t="s">
        <v>4804</v>
      </c>
      <c r="H1645" s="22" t="s">
        <v>4805</v>
      </c>
      <c r="I1645" s="22" t="s">
        <v>32</v>
      </c>
      <c r="J1645" s="22" t="s">
        <v>4806</v>
      </c>
      <c r="K1645" s="22" t="s">
        <v>5791</v>
      </c>
    </row>
    <row r="1646" spans="1:11" x14ac:dyDescent="0.25">
      <c r="A1646" s="88">
        <v>108</v>
      </c>
      <c r="B1646" s="89" t="s">
        <v>883</v>
      </c>
      <c r="C1646" s="88" t="s">
        <v>0</v>
      </c>
      <c r="D1646" s="94">
        <v>24702</v>
      </c>
      <c r="E1646" s="28"/>
      <c r="F1646" s="88">
        <v>7</v>
      </c>
      <c r="G1646" s="89" t="s">
        <v>889</v>
      </c>
      <c r="H1646" s="89"/>
      <c r="I1646" s="89" t="s">
        <v>885</v>
      </c>
      <c r="J1646" s="89"/>
      <c r="K1646" s="89" t="str">
        <f>"　"</f>
        <v>　</v>
      </c>
    </row>
    <row r="1647" spans="1:11" ht="42.75" x14ac:dyDescent="0.25">
      <c r="A1647" s="88">
        <v>108</v>
      </c>
      <c r="B1647" s="89" t="s">
        <v>883</v>
      </c>
      <c r="C1647" s="88" t="s">
        <v>0</v>
      </c>
      <c r="D1647" s="89"/>
      <c r="E1647" s="91">
        <v>24702</v>
      </c>
      <c r="F1647" s="88">
        <v>7</v>
      </c>
      <c r="G1647" s="89" t="s">
        <v>3349</v>
      </c>
      <c r="H1647" s="89" t="s">
        <v>2065</v>
      </c>
      <c r="I1647" s="89" t="s">
        <v>135</v>
      </c>
      <c r="J1647" s="89" t="s">
        <v>1430</v>
      </c>
      <c r="K1647" s="89" t="str">
        <f>"00048828"</f>
        <v>00048828</v>
      </c>
    </row>
    <row r="1648" spans="1:11" x14ac:dyDescent="0.25">
      <c r="A1648" s="88">
        <v>108</v>
      </c>
      <c r="B1648" s="89" t="s">
        <v>883</v>
      </c>
      <c r="C1648" s="88" t="s">
        <v>0</v>
      </c>
      <c r="D1648" s="94">
        <v>49538</v>
      </c>
      <c r="E1648" s="28"/>
      <c r="F1648" s="88">
        <v>7</v>
      </c>
      <c r="G1648" s="89" t="s">
        <v>889</v>
      </c>
      <c r="H1648" s="89"/>
      <c r="I1648" s="89" t="s">
        <v>885</v>
      </c>
      <c r="J1648" s="89"/>
      <c r="K1648" s="89" t="str">
        <f>"　"</f>
        <v>　</v>
      </c>
    </row>
    <row r="1649" spans="1:11" ht="42.75" x14ac:dyDescent="0.25">
      <c r="A1649" s="88">
        <v>108</v>
      </c>
      <c r="B1649" s="89" t="s">
        <v>883</v>
      </c>
      <c r="C1649" s="88" t="s">
        <v>0</v>
      </c>
      <c r="D1649" s="89"/>
      <c r="E1649" s="91">
        <v>49538</v>
      </c>
      <c r="F1649" s="88">
        <v>7</v>
      </c>
      <c r="G1649" s="89" t="s">
        <v>3350</v>
      </c>
      <c r="H1649" s="89" t="s">
        <v>2062</v>
      </c>
      <c r="I1649" s="89" t="s">
        <v>17</v>
      </c>
      <c r="J1649" s="89" t="s">
        <v>110</v>
      </c>
      <c r="K1649" s="89" t="str">
        <f>"00049739"</f>
        <v>00049739</v>
      </c>
    </row>
    <row r="1650" spans="1:11" x14ac:dyDescent="0.25">
      <c r="A1650" s="88">
        <v>108</v>
      </c>
      <c r="B1650" s="89" t="s">
        <v>883</v>
      </c>
      <c r="C1650" s="88" t="s">
        <v>0</v>
      </c>
      <c r="D1650" s="94">
        <v>30000</v>
      </c>
      <c r="E1650" s="28"/>
      <c r="F1650" s="88">
        <v>7</v>
      </c>
      <c r="G1650" s="89" t="s">
        <v>889</v>
      </c>
      <c r="H1650" s="89"/>
      <c r="I1650" s="89" t="s">
        <v>885</v>
      </c>
      <c r="J1650" s="89"/>
      <c r="K1650" s="89" t="str">
        <f>"　"</f>
        <v>　</v>
      </c>
    </row>
    <row r="1651" spans="1:11" ht="57" x14ac:dyDescent="0.25">
      <c r="A1651" s="88">
        <v>108</v>
      </c>
      <c r="B1651" s="89" t="s">
        <v>883</v>
      </c>
      <c r="C1651" s="88" t="s">
        <v>0</v>
      </c>
      <c r="D1651" s="89"/>
      <c r="E1651" s="91">
        <v>30000</v>
      </c>
      <c r="F1651" s="88">
        <v>7</v>
      </c>
      <c r="G1651" s="89" t="s">
        <v>3346</v>
      </c>
      <c r="H1651" s="89" t="s">
        <v>2052</v>
      </c>
      <c r="I1651" s="89" t="s">
        <v>94</v>
      </c>
      <c r="J1651" s="89" t="s">
        <v>1521</v>
      </c>
      <c r="K1651" s="89" t="str">
        <f>"00051840"</f>
        <v>00051840</v>
      </c>
    </row>
    <row r="1652" spans="1:11" x14ac:dyDescent="0.25">
      <c r="A1652" s="88">
        <v>108</v>
      </c>
      <c r="B1652" s="89" t="s">
        <v>883</v>
      </c>
      <c r="C1652" s="88" t="s">
        <v>0</v>
      </c>
      <c r="D1652" s="94">
        <v>46200</v>
      </c>
      <c r="E1652" s="28"/>
      <c r="F1652" s="88">
        <v>7</v>
      </c>
      <c r="G1652" s="89" t="s">
        <v>889</v>
      </c>
      <c r="H1652" s="89"/>
      <c r="I1652" s="89" t="s">
        <v>885</v>
      </c>
      <c r="J1652" s="89"/>
      <c r="K1652" s="89" t="str">
        <f>"　"</f>
        <v>　</v>
      </c>
    </row>
    <row r="1653" spans="1:11" ht="42.75" x14ac:dyDescent="0.25">
      <c r="A1653" s="88">
        <v>108</v>
      </c>
      <c r="B1653" s="89" t="s">
        <v>883</v>
      </c>
      <c r="C1653" s="88" t="s">
        <v>0</v>
      </c>
      <c r="D1653" s="89"/>
      <c r="E1653" s="91">
        <v>46200</v>
      </c>
      <c r="F1653" s="88">
        <v>7</v>
      </c>
      <c r="G1653" s="89" t="s">
        <v>3347</v>
      </c>
      <c r="H1653" s="89" t="s">
        <v>3348</v>
      </c>
      <c r="I1653" s="89" t="s">
        <v>185</v>
      </c>
      <c r="J1653" s="89" t="s">
        <v>270</v>
      </c>
      <c r="K1653" s="89" t="str">
        <f>"00049645"</f>
        <v>00049645</v>
      </c>
    </row>
    <row r="1654" spans="1:11" x14ac:dyDescent="0.25">
      <c r="A1654" s="88">
        <v>108</v>
      </c>
      <c r="B1654" s="89" t="s">
        <v>883</v>
      </c>
      <c r="C1654" s="88" t="s">
        <v>0</v>
      </c>
      <c r="D1654" s="94">
        <v>30000</v>
      </c>
      <c r="E1654" s="28"/>
      <c r="F1654" s="88">
        <v>7</v>
      </c>
      <c r="G1654" s="89" t="s">
        <v>889</v>
      </c>
      <c r="H1654" s="89"/>
      <c r="I1654" s="89" t="s">
        <v>885</v>
      </c>
      <c r="J1654" s="89"/>
      <c r="K1654" s="89" t="str">
        <f>"　"</f>
        <v>　</v>
      </c>
    </row>
    <row r="1655" spans="1:11" ht="42.75" x14ac:dyDescent="0.25">
      <c r="A1655" s="88">
        <v>108</v>
      </c>
      <c r="B1655" s="89" t="s">
        <v>883</v>
      </c>
      <c r="C1655" s="88" t="s">
        <v>0</v>
      </c>
      <c r="D1655" s="89"/>
      <c r="E1655" s="91">
        <v>30000</v>
      </c>
      <c r="F1655" s="88">
        <v>7</v>
      </c>
      <c r="G1655" s="89" t="s">
        <v>6007</v>
      </c>
      <c r="H1655" s="89" t="s">
        <v>2024</v>
      </c>
      <c r="I1655" s="89" t="s">
        <v>94</v>
      </c>
      <c r="J1655" s="89" t="s">
        <v>2025</v>
      </c>
      <c r="K1655" s="89" t="str">
        <f>"00052251"</f>
        <v>00052251</v>
      </c>
    </row>
    <row r="1656" spans="1:11" ht="28.5" x14ac:dyDescent="0.25">
      <c r="A1656" s="88">
        <v>108</v>
      </c>
      <c r="B1656" s="89" t="s">
        <v>883</v>
      </c>
      <c r="C1656" s="88" t="s">
        <v>0</v>
      </c>
      <c r="D1656" s="94">
        <v>60000</v>
      </c>
      <c r="E1656" s="28"/>
      <c r="F1656" s="88">
        <v>7</v>
      </c>
      <c r="G1656" s="89" t="s">
        <v>892</v>
      </c>
      <c r="H1656" s="89"/>
      <c r="I1656" s="89" t="s">
        <v>885</v>
      </c>
      <c r="J1656" s="89"/>
      <c r="K1656" s="89" t="str">
        <f>"　"</f>
        <v>　</v>
      </c>
    </row>
    <row r="1657" spans="1:11" ht="42.75" x14ac:dyDescent="0.25">
      <c r="A1657" s="88">
        <v>108</v>
      </c>
      <c r="B1657" s="89" t="s">
        <v>883</v>
      </c>
      <c r="C1657" s="88" t="s">
        <v>0</v>
      </c>
      <c r="D1657" s="89"/>
      <c r="E1657" s="91">
        <v>60000</v>
      </c>
      <c r="F1657" s="88">
        <v>7</v>
      </c>
      <c r="G1657" s="89" t="s">
        <v>5354</v>
      </c>
      <c r="H1657" s="89" t="s">
        <v>2059</v>
      </c>
      <c r="I1657" s="89" t="s">
        <v>32</v>
      </c>
      <c r="J1657" s="89" t="s">
        <v>2060</v>
      </c>
      <c r="K1657" s="89" t="str">
        <f>"00049728"</f>
        <v>00049728</v>
      </c>
    </row>
    <row r="1658" spans="1:11" ht="28.5" x14ac:dyDescent="0.25">
      <c r="A1658" s="88">
        <v>108</v>
      </c>
      <c r="B1658" s="89" t="s">
        <v>12</v>
      </c>
      <c r="C1658" s="88" t="s">
        <v>0</v>
      </c>
      <c r="D1658" s="91">
        <v>30090000</v>
      </c>
      <c r="E1658" s="28"/>
      <c r="F1658" s="88">
        <v>7</v>
      </c>
      <c r="G1658" s="89" t="s">
        <v>52</v>
      </c>
      <c r="H1658" s="89"/>
      <c r="I1658" s="89" t="s">
        <v>921</v>
      </c>
      <c r="J1658" s="89"/>
      <c r="K1658" s="89" t="str">
        <f>"　"</f>
        <v>　</v>
      </c>
    </row>
    <row r="1659" spans="1:11" ht="57" x14ac:dyDescent="0.25">
      <c r="A1659" s="88">
        <v>108</v>
      </c>
      <c r="B1659" s="89" t="s">
        <v>318</v>
      </c>
      <c r="C1659" s="88" t="s">
        <v>0</v>
      </c>
      <c r="D1659" s="89"/>
      <c r="E1659" s="91">
        <v>73922</v>
      </c>
      <c r="F1659" s="88">
        <v>7</v>
      </c>
      <c r="G1659" s="89" t="s">
        <v>1049</v>
      </c>
      <c r="H1659" s="89" t="s">
        <v>1052</v>
      </c>
      <c r="I1659" s="89" t="s">
        <v>66</v>
      </c>
      <c r="J1659" s="89" t="s">
        <v>1051</v>
      </c>
      <c r="K1659" s="89" t="s">
        <v>6593</v>
      </c>
    </row>
    <row r="1660" spans="1:11" ht="57" x14ac:dyDescent="0.25">
      <c r="A1660" s="88">
        <v>108</v>
      </c>
      <c r="B1660" s="89" t="s">
        <v>321</v>
      </c>
      <c r="C1660" s="88" t="s">
        <v>0</v>
      </c>
      <c r="D1660" s="89"/>
      <c r="E1660" s="91">
        <v>47162</v>
      </c>
      <c r="F1660" s="88">
        <v>7</v>
      </c>
      <c r="G1660" s="89" t="s">
        <v>1046</v>
      </c>
      <c r="H1660" s="89" t="s">
        <v>1047</v>
      </c>
      <c r="I1660" s="89" t="s">
        <v>66</v>
      </c>
      <c r="J1660" s="89" t="s">
        <v>1048</v>
      </c>
      <c r="K1660" s="89" t="s">
        <v>6592</v>
      </c>
    </row>
    <row r="1661" spans="1:11" ht="42.75" x14ac:dyDescent="0.25">
      <c r="A1661" s="88">
        <v>108</v>
      </c>
      <c r="B1661" s="89" t="s">
        <v>1044</v>
      </c>
      <c r="C1661" s="88" t="s">
        <v>0</v>
      </c>
      <c r="D1661" s="89"/>
      <c r="E1661" s="91">
        <v>30770</v>
      </c>
      <c r="F1661" s="88">
        <v>7</v>
      </c>
      <c r="G1661" s="89" t="s">
        <v>5792</v>
      </c>
      <c r="H1661" s="89" t="s">
        <v>308</v>
      </c>
      <c r="I1661" s="89" t="s">
        <v>66</v>
      </c>
      <c r="J1661" s="89" t="s">
        <v>302</v>
      </c>
      <c r="K1661" s="89" t="str">
        <f>"00047591"</f>
        <v>00047591</v>
      </c>
    </row>
    <row r="1662" spans="1:11" ht="42.75" x14ac:dyDescent="0.25">
      <c r="A1662" s="88">
        <v>108</v>
      </c>
      <c r="B1662" s="89" t="s">
        <v>1044</v>
      </c>
      <c r="C1662" s="88" t="s">
        <v>0</v>
      </c>
      <c r="D1662" s="89"/>
      <c r="E1662" s="91">
        <v>13000</v>
      </c>
      <c r="F1662" s="88">
        <v>7</v>
      </c>
      <c r="G1662" s="89" t="s">
        <v>1045</v>
      </c>
      <c r="H1662" s="89" t="s">
        <v>308</v>
      </c>
      <c r="I1662" s="89" t="s">
        <v>66</v>
      </c>
      <c r="J1662" s="89" t="s">
        <v>302</v>
      </c>
      <c r="K1662" s="89" t="str">
        <f>"00047590"</f>
        <v>00047590</v>
      </c>
    </row>
    <row r="1663" spans="1:11" ht="57" x14ac:dyDescent="0.25">
      <c r="A1663" s="88">
        <v>108</v>
      </c>
      <c r="B1663" s="89" t="s">
        <v>321</v>
      </c>
      <c r="C1663" s="88" t="s">
        <v>0</v>
      </c>
      <c r="D1663" s="89"/>
      <c r="E1663" s="91">
        <v>90766</v>
      </c>
      <c r="F1663" s="88">
        <v>7</v>
      </c>
      <c r="G1663" s="89" t="s">
        <v>1049</v>
      </c>
      <c r="H1663" s="89" t="s">
        <v>1050</v>
      </c>
      <c r="I1663" s="89" t="s">
        <v>66</v>
      </c>
      <c r="J1663" s="89" t="s">
        <v>1051</v>
      </c>
      <c r="K1663" s="89" t="s">
        <v>5948</v>
      </c>
    </row>
    <row r="1664" spans="1:11" ht="57" x14ac:dyDescent="0.25">
      <c r="A1664" s="88">
        <v>108</v>
      </c>
      <c r="B1664" s="89" t="s">
        <v>318</v>
      </c>
      <c r="C1664" s="88" t="s">
        <v>0</v>
      </c>
      <c r="D1664" s="89"/>
      <c r="E1664" s="91">
        <v>79301</v>
      </c>
      <c r="F1664" s="88">
        <v>7</v>
      </c>
      <c r="G1664" s="89" t="s">
        <v>1053</v>
      </c>
      <c r="H1664" s="89" t="s">
        <v>1054</v>
      </c>
      <c r="I1664" s="89" t="s">
        <v>66</v>
      </c>
      <c r="J1664" s="89" t="s">
        <v>1055</v>
      </c>
      <c r="K1664" s="89" t="s">
        <v>5947</v>
      </c>
    </row>
    <row r="1665" spans="1:11" ht="42.75" x14ac:dyDescent="0.25">
      <c r="A1665" s="88">
        <v>108</v>
      </c>
      <c r="B1665" s="89" t="s">
        <v>3660</v>
      </c>
      <c r="C1665" s="88" t="s">
        <v>0</v>
      </c>
      <c r="D1665" s="89"/>
      <c r="E1665" s="91">
        <v>34951</v>
      </c>
      <c r="F1665" s="88">
        <v>7</v>
      </c>
      <c r="G1665" s="89" t="s">
        <v>6008</v>
      </c>
      <c r="H1665" s="89" t="s">
        <v>3662</v>
      </c>
      <c r="I1665" s="89" t="s">
        <v>17</v>
      </c>
      <c r="J1665" s="89" t="s">
        <v>3663</v>
      </c>
      <c r="K1665" s="89" t="s">
        <v>6056</v>
      </c>
    </row>
    <row r="1666" spans="1:11" ht="71.25" x14ac:dyDescent="0.25">
      <c r="A1666" s="88">
        <v>108</v>
      </c>
      <c r="B1666" s="89" t="s">
        <v>3657</v>
      </c>
      <c r="C1666" s="88" t="s">
        <v>0</v>
      </c>
      <c r="D1666" s="89"/>
      <c r="E1666" s="91">
        <v>36782</v>
      </c>
      <c r="F1666" s="88">
        <v>7</v>
      </c>
      <c r="G1666" s="89" t="s">
        <v>6009</v>
      </c>
      <c r="H1666" s="89" t="s">
        <v>3658</v>
      </c>
      <c r="I1666" s="89" t="s">
        <v>746</v>
      </c>
      <c r="J1666" s="89" t="s">
        <v>3659</v>
      </c>
      <c r="K1666" s="89" t="s">
        <v>6055</v>
      </c>
    </row>
    <row r="1667" spans="1:11" ht="57" x14ac:dyDescent="0.25">
      <c r="A1667" s="88">
        <v>108</v>
      </c>
      <c r="B1667" s="89" t="s">
        <v>321</v>
      </c>
      <c r="C1667" s="88" t="s">
        <v>0</v>
      </c>
      <c r="D1667" s="89"/>
      <c r="E1667" s="91">
        <v>57932</v>
      </c>
      <c r="F1667" s="88">
        <v>7</v>
      </c>
      <c r="G1667" s="89" t="s">
        <v>3653</v>
      </c>
      <c r="H1667" s="89" t="s">
        <v>3654</v>
      </c>
      <c r="I1667" s="89" t="s">
        <v>66</v>
      </c>
      <c r="J1667" s="89" t="s">
        <v>1439</v>
      </c>
      <c r="K1667" s="89" t="s">
        <v>6057</v>
      </c>
    </row>
    <row r="1668" spans="1:11" ht="42.75" x14ac:dyDescent="0.25">
      <c r="A1668" s="88">
        <v>108</v>
      </c>
      <c r="B1668" s="89" t="s">
        <v>318</v>
      </c>
      <c r="C1668" s="88" t="s">
        <v>0</v>
      </c>
      <c r="D1668" s="89"/>
      <c r="E1668" s="91">
        <v>60452</v>
      </c>
      <c r="F1668" s="88">
        <v>7</v>
      </c>
      <c r="G1668" s="89" t="s">
        <v>3655</v>
      </c>
      <c r="H1668" s="89" t="s">
        <v>481</v>
      </c>
      <c r="I1668" s="89" t="s">
        <v>66</v>
      </c>
      <c r="J1668" s="89" t="s">
        <v>3656</v>
      </c>
      <c r="K1668" s="89" t="s">
        <v>6469</v>
      </c>
    </row>
    <row r="1669" spans="1:11" ht="42.75" x14ac:dyDescent="0.25">
      <c r="A1669" s="88">
        <v>108</v>
      </c>
      <c r="B1669" s="89" t="s">
        <v>318</v>
      </c>
      <c r="C1669" s="88" t="s">
        <v>0</v>
      </c>
      <c r="D1669" s="89"/>
      <c r="E1669" s="91">
        <v>11176</v>
      </c>
      <c r="F1669" s="88">
        <v>7</v>
      </c>
      <c r="G1669" s="89" t="s">
        <v>3653</v>
      </c>
      <c r="H1669" s="89" t="s">
        <v>3654</v>
      </c>
      <c r="I1669" s="89" t="s">
        <v>66</v>
      </c>
      <c r="J1669" s="89" t="s">
        <v>1439</v>
      </c>
      <c r="K1669" s="89" t="str">
        <f>"00049070"</f>
        <v>00049070</v>
      </c>
    </row>
    <row r="1670" spans="1:11" ht="42.75" x14ac:dyDescent="0.25">
      <c r="A1670" s="88">
        <v>108</v>
      </c>
      <c r="B1670" s="89" t="s">
        <v>3660</v>
      </c>
      <c r="C1670" s="88" t="s">
        <v>0</v>
      </c>
      <c r="D1670" s="89"/>
      <c r="E1670" s="91">
        <v>28269</v>
      </c>
      <c r="F1670" s="88">
        <v>7</v>
      </c>
      <c r="G1670" s="89" t="s">
        <v>3661</v>
      </c>
      <c r="H1670" s="89" t="s">
        <v>3662</v>
      </c>
      <c r="I1670" s="89" t="s">
        <v>17</v>
      </c>
      <c r="J1670" s="89" t="s">
        <v>3663</v>
      </c>
      <c r="K1670" s="89" t="s">
        <v>6470</v>
      </c>
    </row>
    <row r="1671" spans="1:11" x14ac:dyDescent="0.25">
      <c r="A1671" s="88">
        <v>108</v>
      </c>
      <c r="B1671" s="89" t="s">
        <v>883</v>
      </c>
      <c r="C1671" s="88" t="s">
        <v>0</v>
      </c>
      <c r="D1671" s="94">
        <v>43351</v>
      </c>
      <c r="E1671" s="90"/>
      <c r="F1671" s="88">
        <v>7</v>
      </c>
      <c r="G1671" s="89" t="s">
        <v>889</v>
      </c>
      <c r="H1671" s="89"/>
      <c r="I1671" s="89" t="s">
        <v>885</v>
      </c>
      <c r="J1671" s="89"/>
      <c r="K1671" s="89" t="str">
        <f>"　"</f>
        <v>　</v>
      </c>
    </row>
    <row r="1672" spans="1:11" ht="57" x14ac:dyDescent="0.25">
      <c r="A1672" s="88">
        <v>108</v>
      </c>
      <c r="B1672" s="89" t="s">
        <v>883</v>
      </c>
      <c r="C1672" s="88" t="s">
        <v>0</v>
      </c>
      <c r="D1672" s="89"/>
      <c r="E1672" s="90">
        <v>43351</v>
      </c>
      <c r="F1672" s="88">
        <v>7</v>
      </c>
      <c r="G1672" s="89" t="s">
        <v>3352</v>
      </c>
      <c r="H1672" s="89" t="s">
        <v>2952</v>
      </c>
      <c r="I1672" s="89" t="s">
        <v>1582</v>
      </c>
      <c r="J1672" s="89" t="s">
        <v>3353</v>
      </c>
      <c r="K1672" s="89" t="str">
        <f>"00048530"</f>
        <v>00048530</v>
      </c>
    </row>
    <row r="1673" spans="1:11" ht="28.5" x14ac:dyDescent="0.25">
      <c r="A1673" s="88">
        <v>108</v>
      </c>
      <c r="B1673" s="89" t="s">
        <v>883</v>
      </c>
      <c r="C1673" s="88" t="s">
        <v>0</v>
      </c>
      <c r="D1673" s="94">
        <v>71775</v>
      </c>
      <c r="E1673" s="90"/>
      <c r="F1673" s="88">
        <v>7</v>
      </c>
      <c r="G1673" s="89" t="s">
        <v>892</v>
      </c>
      <c r="H1673" s="89"/>
      <c r="I1673" s="89" t="s">
        <v>885</v>
      </c>
      <c r="J1673" s="89"/>
      <c r="K1673" s="89" t="str">
        <f>"　"</f>
        <v>　</v>
      </c>
    </row>
    <row r="1674" spans="1:11" ht="57" x14ac:dyDescent="0.25">
      <c r="A1674" s="88">
        <v>108</v>
      </c>
      <c r="B1674" s="89" t="s">
        <v>883</v>
      </c>
      <c r="C1674" s="88" t="s">
        <v>0</v>
      </c>
      <c r="D1674" s="89"/>
      <c r="E1674" s="90">
        <v>71775</v>
      </c>
      <c r="F1674" s="88">
        <v>7</v>
      </c>
      <c r="G1674" s="89" t="s">
        <v>893</v>
      </c>
      <c r="H1674" s="89" t="s">
        <v>894</v>
      </c>
      <c r="I1674" s="89" t="s">
        <v>32</v>
      </c>
      <c r="J1674" s="89" t="s">
        <v>729</v>
      </c>
      <c r="K1674" s="89" t="str">
        <f>"00047613"</f>
        <v>00047613</v>
      </c>
    </row>
    <row r="1675" spans="1:11" ht="28.5" x14ac:dyDescent="0.25">
      <c r="A1675" s="88">
        <v>108</v>
      </c>
      <c r="B1675" s="89" t="s">
        <v>12</v>
      </c>
      <c r="C1675" s="88" t="s">
        <v>0</v>
      </c>
      <c r="D1675" s="91">
        <v>30090000</v>
      </c>
      <c r="E1675" s="90"/>
      <c r="F1675" s="88">
        <v>7</v>
      </c>
      <c r="G1675" s="89" t="s">
        <v>52</v>
      </c>
      <c r="H1675" s="89"/>
      <c r="I1675" s="89" t="s">
        <v>921</v>
      </c>
      <c r="J1675" s="89"/>
      <c r="K1675" s="89" t="str">
        <f>"　"</f>
        <v>　</v>
      </c>
    </row>
    <row r="1676" spans="1:11" ht="85.5" x14ac:dyDescent="0.25">
      <c r="A1676" s="88">
        <v>108</v>
      </c>
      <c r="B1676" s="89" t="s">
        <v>1066</v>
      </c>
      <c r="C1676" s="88" t="s">
        <v>0</v>
      </c>
      <c r="D1676" s="89"/>
      <c r="E1676" s="90">
        <v>40709</v>
      </c>
      <c r="F1676" s="88">
        <v>7</v>
      </c>
      <c r="G1676" s="89" t="s">
        <v>1067</v>
      </c>
      <c r="H1676" s="89" t="s">
        <v>1068</v>
      </c>
      <c r="I1676" s="89" t="s">
        <v>66</v>
      </c>
      <c r="J1676" s="89" t="s">
        <v>1069</v>
      </c>
      <c r="K1676" s="89" t="s">
        <v>5949</v>
      </c>
    </row>
    <row r="1677" spans="1:11" ht="185.25" x14ac:dyDescent="0.25">
      <c r="A1677" s="88">
        <v>108</v>
      </c>
      <c r="B1677" s="89" t="s">
        <v>1062</v>
      </c>
      <c r="C1677" s="88" t="s">
        <v>0</v>
      </c>
      <c r="D1677" s="89"/>
      <c r="E1677" s="90">
        <v>147039</v>
      </c>
      <c r="F1677" s="88">
        <v>7</v>
      </c>
      <c r="G1677" s="89" t="s">
        <v>1063</v>
      </c>
      <c r="H1677" s="89" t="s">
        <v>1064</v>
      </c>
      <c r="I1677" s="89" t="s">
        <v>32</v>
      </c>
      <c r="J1677" s="89" t="s">
        <v>1065</v>
      </c>
      <c r="K1677" s="89" t="s">
        <v>6058</v>
      </c>
    </row>
    <row r="1678" spans="1:11" ht="85.5" x14ac:dyDescent="0.25">
      <c r="A1678" s="88">
        <v>108</v>
      </c>
      <c r="B1678" s="89" t="s">
        <v>1066</v>
      </c>
      <c r="C1678" s="88" t="s">
        <v>0</v>
      </c>
      <c r="D1678" s="89"/>
      <c r="E1678" s="90">
        <v>40709</v>
      </c>
      <c r="F1678" s="88">
        <v>7</v>
      </c>
      <c r="G1678" s="89" t="s">
        <v>1067</v>
      </c>
      <c r="H1678" s="89" t="s">
        <v>1068</v>
      </c>
      <c r="I1678" s="89" t="s">
        <v>66</v>
      </c>
      <c r="J1678" s="89" t="s">
        <v>1069</v>
      </c>
      <c r="K1678" s="89" t="s">
        <v>6591</v>
      </c>
    </row>
    <row r="1679" spans="1:11" ht="57" x14ac:dyDescent="0.25">
      <c r="A1679" s="88">
        <v>108</v>
      </c>
      <c r="B1679" s="89" t="s">
        <v>3667</v>
      </c>
      <c r="C1679" s="88" t="s">
        <v>0</v>
      </c>
      <c r="D1679" s="89"/>
      <c r="E1679" s="90">
        <v>58019</v>
      </c>
      <c r="F1679" s="88">
        <v>7</v>
      </c>
      <c r="G1679" s="89" t="s">
        <v>3668</v>
      </c>
      <c r="H1679" s="89" t="s">
        <v>3669</v>
      </c>
      <c r="I1679" s="89" t="s">
        <v>1632</v>
      </c>
      <c r="J1679" s="89" t="s">
        <v>1633</v>
      </c>
      <c r="K1679" s="89" t="str">
        <f>"00050696"</f>
        <v>00050696</v>
      </c>
    </row>
    <row r="1680" spans="1:11" ht="42.75" x14ac:dyDescent="0.25">
      <c r="A1680" s="88">
        <v>108</v>
      </c>
      <c r="B1680" s="89" t="s">
        <v>1066</v>
      </c>
      <c r="C1680" s="88" t="s">
        <v>0</v>
      </c>
      <c r="D1680" s="89"/>
      <c r="E1680" s="90">
        <v>40874</v>
      </c>
      <c r="F1680" s="88">
        <v>7</v>
      </c>
      <c r="G1680" s="89" t="s">
        <v>1070</v>
      </c>
      <c r="H1680" s="89" t="s">
        <v>1068</v>
      </c>
      <c r="I1680" s="89" t="s">
        <v>66</v>
      </c>
      <c r="J1680" s="89" t="s">
        <v>1069</v>
      </c>
      <c r="K1680" s="89" t="s">
        <v>6590</v>
      </c>
    </row>
    <row r="1681" spans="1:11" ht="28.5" x14ac:dyDescent="0.25">
      <c r="A1681" s="88">
        <v>108</v>
      </c>
      <c r="B1681" s="89" t="s">
        <v>26</v>
      </c>
      <c r="C1681" s="88" t="s">
        <v>0</v>
      </c>
      <c r="D1681" s="94">
        <v>1800000</v>
      </c>
      <c r="E1681" s="90"/>
      <c r="F1681" s="88">
        <v>7</v>
      </c>
      <c r="G1681" s="89" t="s">
        <v>28</v>
      </c>
      <c r="H1681" s="89"/>
      <c r="I1681" s="89" t="s">
        <v>14</v>
      </c>
      <c r="J1681" s="89"/>
      <c r="K1681" s="89" t="str">
        <f>"　"</f>
        <v>　</v>
      </c>
    </row>
    <row r="1682" spans="1:11" ht="42.75" x14ac:dyDescent="0.25">
      <c r="A1682" s="88">
        <v>108</v>
      </c>
      <c r="B1682" s="89" t="s">
        <v>26</v>
      </c>
      <c r="C1682" s="88" t="s">
        <v>0</v>
      </c>
      <c r="D1682" s="89"/>
      <c r="E1682" s="90">
        <v>27291</v>
      </c>
      <c r="F1682" s="88">
        <v>7</v>
      </c>
      <c r="G1682" s="89" t="s">
        <v>1364</v>
      </c>
      <c r="H1682" s="89" t="s">
        <v>1365</v>
      </c>
      <c r="I1682" s="89" t="s">
        <v>66</v>
      </c>
      <c r="J1682" s="89" t="s">
        <v>1366</v>
      </c>
      <c r="K1682" s="89" t="str">
        <f>"00048102"</f>
        <v>00048102</v>
      </c>
    </row>
    <row r="1683" spans="1:11" ht="42.75" x14ac:dyDescent="0.25">
      <c r="A1683" s="88">
        <v>108</v>
      </c>
      <c r="B1683" s="89" t="s">
        <v>26</v>
      </c>
      <c r="C1683" s="88" t="s">
        <v>0</v>
      </c>
      <c r="D1683" s="89"/>
      <c r="E1683" s="90">
        <v>35269</v>
      </c>
      <c r="F1683" s="88">
        <v>7</v>
      </c>
      <c r="G1683" s="89" t="s">
        <v>1367</v>
      </c>
      <c r="H1683" s="89" t="s">
        <v>1368</v>
      </c>
      <c r="I1683" s="89" t="s">
        <v>66</v>
      </c>
      <c r="J1683" s="89" t="s">
        <v>1369</v>
      </c>
      <c r="K1683" s="89" t="str">
        <f>"00048103"</f>
        <v>00048103</v>
      </c>
    </row>
    <row r="1684" spans="1:11" ht="57" x14ac:dyDescent="0.25">
      <c r="A1684" s="88">
        <v>108</v>
      </c>
      <c r="B1684" s="89" t="s">
        <v>26</v>
      </c>
      <c r="C1684" s="88" t="s">
        <v>0</v>
      </c>
      <c r="D1684" s="89"/>
      <c r="E1684" s="90">
        <v>31615</v>
      </c>
      <c r="F1684" s="88">
        <v>7</v>
      </c>
      <c r="G1684" s="89" t="s">
        <v>5365</v>
      </c>
      <c r="H1684" s="89" t="s">
        <v>1370</v>
      </c>
      <c r="I1684" s="89" t="s">
        <v>1371</v>
      </c>
      <c r="J1684" s="89" t="s">
        <v>1372</v>
      </c>
      <c r="K1684" s="89" t="str">
        <f>"00047449"</f>
        <v>00047449</v>
      </c>
    </row>
    <row r="1685" spans="1:11" ht="57" x14ac:dyDescent="0.25">
      <c r="A1685" s="88">
        <v>108</v>
      </c>
      <c r="B1685" s="89" t="s">
        <v>26</v>
      </c>
      <c r="C1685" s="88" t="s">
        <v>0</v>
      </c>
      <c r="D1685" s="89"/>
      <c r="E1685" s="90">
        <v>48313</v>
      </c>
      <c r="F1685" s="88">
        <v>7</v>
      </c>
      <c r="G1685" s="89" t="s">
        <v>1373</v>
      </c>
      <c r="H1685" s="89" t="s">
        <v>1370</v>
      </c>
      <c r="I1685" s="89" t="s">
        <v>1374</v>
      </c>
      <c r="J1685" s="89" t="s">
        <v>1375</v>
      </c>
      <c r="K1685" s="89" t="str">
        <f>"00047456"</f>
        <v>00047456</v>
      </c>
    </row>
    <row r="1686" spans="1:11" ht="42.75" x14ac:dyDescent="0.25">
      <c r="A1686" s="88">
        <v>108</v>
      </c>
      <c r="B1686" s="89" t="s">
        <v>26</v>
      </c>
      <c r="C1686" s="88" t="s">
        <v>0</v>
      </c>
      <c r="D1686" s="89"/>
      <c r="E1686" s="90">
        <v>34111</v>
      </c>
      <c r="F1686" s="88">
        <v>7</v>
      </c>
      <c r="G1686" s="89" t="s">
        <v>1376</v>
      </c>
      <c r="H1686" s="89" t="s">
        <v>1377</v>
      </c>
      <c r="I1686" s="89" t="s">
        <v>66</v>
      </c>
      <c r="J1686" s="89" t="s">
        <v>954</v>
      </c>
      <c r="K1686" s="89" t="str">
        <f>"00048106"</f>
        <v>00048106</v>
      </c>
    </row>
    <row r="1687" spans="1:11" ht="42.75" x14ac:dyDescent="0.25">
      <c r="A1687" s="88">
        <v>108</v>
      </c>
      <c r="B1687" s="89" t="s">
        <v>26</v>
      </c>
      <c r="C1687" s="88" t="s">
        <v>0</v>
      </c>
      <c r="D1687" s="89"/>
      <c r="E1687" s="90">
        <v>37411</v>
      </c>
      <c r="F1687" s="88">
        <v>7</v>
      </c>
      <c r="G1687" s="89" t="s">
        <v>1378</v>
      </c>
      <c r="H1687" s="89" t="s">
        <v>1377</v>
      </c>
      <c r="I1687" s="89" t="s">
        <v>66</v>
      </c>
      <c r="J1687" s="89" t="s">
        <v>1069</v>
      </c>
      <c r="K1687" s="89" t="str">
        <f>"00048115"</f>
        <v>00048115</v>
      </c>
    </row>
    <row r="1688" spans="1:11" ht="85.5" x14ac:dyDescent="0.25">
      <c r="A1688" s="88">
        <v>108</v>
      </c>
      <c r="B1688" s="89" t="s">
        <v>26</v>
      </c>
      <c r="C1688" s="88" t="s">
        <v>0</v>
      </c>
      <c r="D1688" s="89"/>
      <c r="E1688" s="90">
        <v>26005</v>
      </c>
      <c r="F1688" s="88">
        <v>7</v>
      </c>
      <c r="G1688" s="89" t="s">
        <v>1379</v>
      </c>
      <c r="H1688" s="89" t="s">
        <v>916</v>
      </c>
      <c r="I1688" s="89" t="s">
        <v>66</v>
      </c>
      <c r="J1688" s="89" t="s">
        <v>1380</v>
      </c>
      <c r="K1688" s="89" t="str">
        <f>"00048101"</f>
        <v>00048101</v>
      </c>
    </row>
    <row r="1689" spans="1:11" ht="42.75" x14ac:dyDescent="0.25">
      <c r="A1689" s="88">
        <v>108</v>
      </c>
      <c r="B1689" s="89" t="s">
        <v>26</v>
      </c>
      <c r="C1689" s="88" t="s">
        <v>0</v>
      </c>
      <c r="D1689" s="89"/>
      <c r="E1689" s="90">
        <v>34741</v>
      </c>
      <c r="F1689" s="88">
        <v>7</v>
      </c>
      <c r="G1689" s="89" t="s">
        <v>5366</v>
      </c>
      <c r="H1689" s="89" t="s">
        <v>218</v>
      </c>
      <c r="I1689" s="89" t="s">
        <v>66</v>
      </c>
      <c r="J1689" s="89" t="s">
        <v>1069</v>
      </c>
      <c r="K1689" s="89" t="str">
        <f>"00048139"</f>
        <v>00048139</v>
      </c>
    </row>
    <row r="1690" spans="1:11" ht="42.75" x14ac:dyDescent="0.25">
      <c r="A1690" s="88">
        <v>108</v>
      </c>
      <c r="B1690" s="89" t="s">
        <v>26</v>
      </c>
      <c r="C1690" s="88" t="s">
        <v>0</v>
      </c>
      <c r="D1690" s="89"/>
      <c r="E1690" s="90">
        <v>42201</v>
      </c>
      <c r="F1690" s="88">
        <v>7</v>
      </c>
      <c r="G1690" s="89" t="s">
        <v>5367</v>
      </c>
      <c r="H1690" s="89" t="s">
        <v>1381</v>
      </c>
      <c r="I1690" s="89" t="s">
        <v>66</v>
      </c>
      <c r="J1690" s="89" t="s">
        <v>954</v>
      </c>
      <c r="K1690" s="89" t="str">
        <f>"00048699"</f>
        <v>00048699</v>
      </c>
    </row>
    <row r="1691" spans="1:11" ht="42.75" x14ac:dyDescent="0.25">
      <c r="A1691" s="88">
        <v>108</v>
      </c>
      <c r="B1691" s="89" t="s">
        <v>26</v>
      </c>
      <c r="C1691" s="88" t="s">
        <v>0</v>
      </c>
      <c r="D1691" s="89"/>
      <c r="E1691" s="90">
        <v>25895</v>
      </c>
      <c r="F1691" s="88">
        <v>7</v>
      </c>
      <c r="G1691" s="89" t="s">
        <v>1382</v>
      </c>
      <c r="H1691" s="89" t="s">
        <v>1383</v>
      </c>
      <c r="I1691" s="89" t="s">
        <v>66</v>
      </c>
      <c r="J1691" s="89" t="s">
        <v>1384</v>
      </c>
      <c r="K1691" s="89" t="str">
        <f>"00048542"</f>
        <v>00048542</v>
      </c>
    </row>
    <row r="1692" spans="1:11" ht="42.75" x14ac:dyDescent="0.25">
      <c r="A1692" s="88">
        <v>108</v>
      </c>
      <c r="B1692" s="89" t="s">
        <v>26</v>
      </c>
      <c r="C1692" s="88" t="s">
        <v>0</v>
      </c>
      <c r="D1692" s="89"/>
      <c r="E1692" s="90">
        <v>35926</v>
      </c>
      <c r="F1692" s="88">
        <v>7</v>
      </c>
      <c r="G1692" s="89" t="s">
        <v>1382</v>
      </c>
      <c r="H1692" s="89" t="s">
        <v>476</v>
      </c>
      <c r="I1692" s="89" t="s">
        <v>66</v>
      </c>
      <c r="J1692" s="89" t="s">
        <v>1385</v>
      </c>
      <c r="K1692" s="89" t="str">
        <f>"00048885"</f>
        <v>00048885</v>
      </c>
    </row>
    <row r="1693" spans="1:11" ht="42.75" x14ac:dyDescent="0.25">
      <c r="A1693" s="88">
        <v>108</v>
      </c>
      <c r="B1693" s="89" t="s">
        <v>26</v>
      </c>
      <c r="C1693" s="88" t="s">
        <v>0</v>
      </c>
      <c r="D1693" s="89"/>
      <c r="E1693" s="90">
        <v>47831</v>
      </c>
      <c r="F1693" s="88">
        <v>7</v>
      </c>
      <c r="G1693" s="89" t="s">
        <v>1386</v>
      </c>
      <c r="H1693" s="89" t="s">
        <v>537</v>
      </c>
      <c r="I1693" s="89" t="s">
        <v>66</v>
      </c>
      <c r="J1693" s="89" t="s">
        <v>954</v>
      </c>
      <c r="K1693" s="89" t="str">
        <f>"00048702"</f>
        <v>00048702</v>
      </c>
    </row>
    <row r="1694" spans="1:11" ht="42.75" x14ac:dyDescent="0.25">
      <c r="A1694" s="88">
        <v>108</v>
      </c>
      <c r="B1694" s="89" t="s">
        <v>26</v>
      </c>
      <c r="C1694" s="88" t="s">
        <v>0</v>
      </c>
      <c r="D1694" s="89"/>
      <c r="E1694" s="90">
        <v>38658</v>
      </c>
      <c r="F1694" s="88">
        <v>7</v>
      </c>
      <c r="G1694" s="89" t="s">
        <v>1367</v>
      </c>
      <c r="H1694" s="89" t="s">
        <v>476</v>
      </c>
      <c r="I1694" s="89" t="s">
        <v>66</v>
      </c>
      <c r="J1694" s="89" t="s">
        <v>1369</v>
      </c>
      <c r="K1694" s="89" t="str">
        <f>"00048833"</f>
        <v>00048833</v>
      </c>
    </row>
    <row r="1695" spans="1:11" ht="42.75" x14ac:dyDescent="0.25">
      <c r="A1695" s="88">
        <v>108</v>
      </c>
      <c r="B1695" s="89" t="s">
        <v>26</v>
      </c>
      <c r="C1695" s="88" t="s">
        <v>0</v>
      </c>
      <c r="D1695" s="89"/>
      <c r="E1695" s="90">
        <v>49469</v>
      </c>
      <c r="F1695" s="88">
        <v>7</v>
      </c>
      <c r="G1695" s="89" t="s">
        <v>5367</v>
      </c>
      <c r="H1695" s="89" t="s">
        <v>537</v>
      </c>
      <c r="I1695" s="89" t="s">
        <v>66</v>
      </c>
      <c r="J1695" s="89" t="s">
        <v>1069</v>
      </c>
      <c r="K1695" s="89" t="str">
        <f>"00049066"</f>
        <v>00049066</v>
      </c>
    </row>
    <row r="1696" spans="1:11" ht="71.25" x14ac:dyDescent="0.25">
      <c r="A1696" s="88">
        <v>108</v>
      </c>
      <c r="B1696" s="89" t="s">
        <v>26</v>
      </c>
      <c r="C1696" s="88" t="s">
        <v>0</v>
      </c>
      <c r="D1696" s="89"/>
      <c r="E1696" s="90">
        <v>24944</v>
      </c>
      <c r="F1696" s="88">
        <v>7</v>
      </c>
      <c r="G1696" s="89" t="s">
        <v>5368</v>
      </c>
      <c r="H1696" s="89" t="s">
        <v>1387</v>
      </c>
      <c r="I1696" s="89" t="s">
        <v>66</v>
      </c>
      <c r="J1696" s="89" t="s">
        <v>1388</v>
      </c>
      <c r="K1696" s="89" t="str">
        <f>"00048675"</f>
        <v>00048675</v>
      </c>
    </row>
    <row r="1697" spans="1:11" ht="42.75" x14ac:dyDescent="0.25">
      <c r="A1697" s="88">
        <v>108</v>
      </c>
      <c r="B1697" s="89" t="s">
        <v>26</v>
      </c>
      <c r="C1697" s="88" t="s">
        <v>0</v>
      </c>
      <c r="D1697" s="89"/>
      <c r="E1697" s="90">
        <v>41135</v>
      </c>
      <c r="F1697" s="88">
        <v>7</v>
      </c>
      <c r="G1697" s="89" t="s">
        <v>4122</v>
      </c>
      <c r="H1697" s="89" t="s">
        <v>3173</v>
      </c>
      <c r="I1697" s="89" t="s">
        <v>66</v>
      </c>
      <c r="J1697" s="89" t="s">
        <v>1366</v>
      </c>
      <c r="K1697" s="89" t="s">
        <v>6589</v>
      </c>
    </row>
    <row r="1698" spans="1:11" ht="99.75" x14ac:dyDescent="0.25">
      <c r="A1698" s="88">
        <v>108</v>
      </c>
      <c r="B1698" s="89" t="s">
        <v>26</v>
      </c>
      <c r="C1698" s="88" t="s">
        <v>0</v>
      </c>
      <c r="D1698" s="89"/>
      <c r="E1698" s="90">
        <v>74249</v>
      </c>
      <c r="F1698" s="88">
        <v>7</v>
      </c>
      <c r="G1698" s="89" t="s">
        <v>4143</v>
      </c>
      <c r="H1698" s="89" t="s">
        <v>4123</v>
      </c>
      <c r="I1698" s="89" t="s">
        <v>849</v>
      </c>
      <c r="J1698" s="89" t="s">
        <v>4124</v>
      </c>
      <c r="K1698" s="89" t="s">
        <v>6588</v>
      </c>
    </row>
    <row r="1699" spans="1:11" ht="99.75" x14ac:dyDescent="0.25">
      <c r="A1699" s="88">
        <v>108</v>
      </c>
      <c r="B1699" s="89" t="s">
        <v>26</v>
      </c>
      <c r="C1699" s="88" t="s">
        <v>0</v>
      </c>
      <c r="D1699" s="89"/>
      <c r="E1699" s="90">
        <v>67342</v>
      </c>
      <c r="F1699" s="88">
        <v>7</v>
      </c>
      <c r="G1699" s="89" t="s">
        <v>4125</v>
      </c>
      <c r="H1699" s="89" t="s">
        <v>4126</v>
      </c>
      <c r="I1699" s="89" t="s">
        <v>849</v>
      </c>
      <c r="J1699" s="89" t="s">
        <v>4124</v>
      </c>
      <c r="K1699" s="89" t="s">
        <v>6587</v>
      </c>
    </row>
    <row r="1700" spans="1:11" ht="99.75" x14ac:dyDescent="0.25">
      <c r="A1700" s="88">
        <v>108</v>
      </c>
      <c r="B1700" s="89" t="s">
        <v>26</v>
      </c>
      <c r="C1700" s="88" t="s">
        <v>0</v>
      </c>
      <c r="D1700" s="89"/>
      <c r="E1700" s="90">
        <v>65196</v>
      </c>
      <c r="F1700" s="88">
        <v>7</v>
      </c>
      <c r="G1700" s="89" t="s">
        <v>4127</v>
      </c>
      <c r="H1700" s="89" t="s">
        <v>4123</v>
      </c>
      <c r="I1700" s="89" t="s">
        <v>849</v>
      </c>
      <c r="J1700" s="89" t="s">
        <v>2653</v>
      </c>
      <c r="K1700" s="89" t="s">
        <v>6586</v>
      </c>
    </row>
    <row r="1701" spans="1:11" ht="99.75" x14ac:dyDescent="0.25">
      <c r="A1701" s="88">
        <v>108</v>
      </c>
      <c r="B1701" s="89" t="s">
        <v>26</v>
      </c>
      <c r="C1701" s="88" t="s">
        <v>0</v>
      </c>
      <c r="D1701" s="89"/>
      <c r="E1701" s="90">
        <v>65253</v>
      </c>
      <c r="F1701" s="88">
        <v>7</v>
      </c>
      <c r="G1701" s="89" t="s">
        <v>4143</v>
      </c>
      <c r="H1701" s="89" t="s">
        <v>4128</v>
      </c>
      <c r="I1701" s="89" t="s">
        <v>849</v>
      </c>
      <c r="J1701" s="89" t="s">
        <v>4124</v>
      </c>
      <c r="K1701" s="89" t="s">
        <v>5951</v>
      </c>
    </row>
    <row r="1702" spans="1:11" ht="99.75" x14ac:dyDescent="0.25">
      <c r="A1702" s="88">
        <v>108</v>
      </c>
      <c r="B1702" s="89" t="s">
        <v>26</v>
      </c>
      <c r="C1702" s="88" t="s">
        <v>0</v>
      </c>
      <c r="D1702" s="89"/>
      <c r="E1702" s="90">
        <v>73010</v>
      </c>
      <c r="F1702" s="88">
        <v>7</v>
      </c>
      <c r="G1702" s="89" t="s">
        <v>4131</v>
      </c>
      <c r="H1702" s="89" t="s">
        <v>4123</v>
      </c>
      <c r="I1702" s="89" t="s">
        <v>849</v>
      </c>
      <c r="J1702" s="89" t="s">
        <v>4124</v>
      </c>
      <c r="K1702" s="89" t="s">
        <v>5950</v>
      </c>
    </row>
    <row r="1703" spans="1:11" ht="57" x14ac:dyDescent="0.25">
      <c r="A1703" s="88">
        <v>108</v>
      </c>
      <c r="B1703" s="89" t="s">
        <v>26</v>
      </c>
      <c r="C1703" s="88" t="s">
        <v>0</v>
      </c>
      <c r="D1703" s="89"/>
      <c r="E1703" s="90">
        <v>9536</v>
      </c>
      <c r="F1703" s="88">
        <v>7</v>
      </c>
      <c r="G1703" s="89" t="s">
        <v>1392</v>
      </c>
      <c r="H1703" s="89" t="s">
        <v>1393</v>
      </c>
      <c r="I1703" s="89" t="s">
        <v>66</v>
      </c>
      <c r="J1703" s="89" t="s">
        <v>1366</v>
      </c>
      <c r="K1703" s="89" t="s">
        <v>6059</v>
      </c>
    </row>
    <row r="1704" spans="1:11" ht="99.75" x14ac:dyDescent="0.25">
      <c r="A1704" s="88">
        <v>108</v>
      </c>
      <c r="B1704" s="89" t="s">
        <v>26</v>
      </c>
      <c r="C1704" s="88" t="s">
        <v>0</v>
      </c>
      <c r="D1704" s="89"/>
      <c r="E1704" s="90">
        <v>74973</v>
      </c>
      <c r="F1704" s="88">
        <v>7</v>
      </c>
      <c r="G1704" s="89" t="s">
        <v>4131</v>
      </c>
      <c r="H1704" s="89" t="s">
        <v>4133</v>
      </c>
      <c r="I1704" s="89" t="s">
        <v>849</v>
      </c>
      <c r="J1704" s="89" t="s">
        <v>4124</v>
      </c>
      <c r="K1704" s="89" t="s">
        <v>6585</v>
      </c>
    </row>
    <row r="1705" spans="1:11" ht="57" x14ac:dyDescent="0.25">
      <c r="A1705" s="88">
        <v>108</v>
      </c>
      <c r="B1705" s="89" t="s">
        <v>26</v>
      </c>
      <c r="C1705" s="88" t="s">
        <v>0</v>
      </c>
      <c r="D1705" s="89"/>
      <c r="E1705" s="90">
        <v>68596</v>
      </c>
      <c r="F1705" s="88">
        <v>7</v>
      </c>
      <c r="G1705" s="89" t="s">
        <v>4146</v>
      </c>
      <c r="H1705" s="89" t="s">
        <v>4138</v>
      </c>
      <c r="I1705" s="89" t="s">
        <v>4136</v>
      </c>
      <c r="J1705" s="89" t="s">
        <v>4137</v>
      </c>
      <c r="K1705" s="89" t="str">
        <f>"00052271"</f>
        <v>00052271</v>
      </c>
    </row>
    <row r="1706" spans="1:11" ht="99.75" x14ac:dyDescent="0.25">
      <c r="A1706" s="88">
        <v>108</v>
      </c>
      <c r="B1706" s="89" t="s">
        <v>26</v>
      </c>
      <c r="C1706" s="88" t="s">
        <v>0</v>
      </c>
      <c r="D1706" s="89"/>
      <c r="E1706" s="90">
        <v>94455</v>
      </c>
      <c r="F1706" s="88">
        <v>7</v>
      </c>
      <c r="G1706" s="89" t="s">
        <v>4134</v>
      </c>
      <c r="H1706" s="89" t="s">
        <v>4135</v>
      </c>
      <c r="I1706" s="89" t="s">
        <v>4136</v>
      </c>
      <c r="J1706" s="89" t="s">
        <v>4137</v>
      </c>
      <c r="K1706" s="89" t="s">
        <v>6584</v>
      </c>
    </row>
    <row r="1707" spans="1:11" ht="99.75" x14ac:dyDescent="0.25">
      <c r="A1707" s="88">
        <v>108</v>
      </c>
      <c r="B1707" s="89" t="s">
        <v>26</v>
      </c>
      <c r="C1707" s="88" t="s">
        <v>0</v>
      </c>
      <c r="D1707" s="89"/>
      <c r="E1707" s="90">
        <v>68019</v>
      </c>
      <c r="F1707" s="88">
        <v>7</v>
      </c>
      <c r="G1707" s="89" t="s">
        <v>4143</v>
      </c>
      <c r="H1707" s="89" t="s">
        <v>4123</v>
      </c>
      <c r="I1707" s="89" t="s">
        <v>849</v>
      </c>
      <c r="J1707" s="89" t="s">
        <v>4124</v>
      </c>
      <c r="K1707" s="89" t="s">
        <v>6583</v>
      </c>
    </row>
    <row r="1708" spans="1:11" ht="42.75" x14ac:dyDescent="0.25">
      <c r="A1708" s="88">
        <v>108</v>
      </c>
      <c r="B1708" s="89" t="s">
        <v>26</v>
      </c>
      <c r="C1708" s="88" t="s">
        <v>0</v>
      </c>
      <c r="D1708" s="89"/>
      <c r="E1708" s="90">
        <v>29548</v>
      </c>
      <c r="F1708" s="88">
        <v>7</v>
      </c>
      <c r="G1708" s="89" t="s">
        <v>1367</v>
      </c>
      <c r="H1708" s="89" t="s">
        <v>4130</v>
      </c>
      <c r="I1708" s="89" t="s">
        <v>66</v>
      </c>
      <c r="J1708" s="89" t="s">
        <v>1369</v>
      </c>
      <c r="K1708" s="89" t="str">
        <f>"00052026"</f>
        <v>00052026</v>
      </c>
    </row>
    <row r="1709" spans="1:11" ht="42.75" x14ac:dyDescent="0.25">
      <c r="A1709" s="88">
        <v>108</v>
      </c>
      <c r="B1709" s="89" t="s">
        <v>26</v>
      </c>
      <c r="C1709" s="88" t="s">
        <v>0</v>
      </c>
      <c r="D1709" s="89"/>
      <c r="E1709" s="90">
        <v>28735</v>
      </c>
      <c r="F1709" s="88">
        <v>7</v>
      </c>
      <c r="G1709" s="89" t="s">
        <v>5367</v>
      </c>
      <c r="H1709" s="89" t="s">
        <v>4130</v>
      </c>
      <c r="I1709" s="89" t="s">
        <v>66</v>
      </c>
      <c r="J1709" s="89" t="s">
        <v>1369</v>
      </c>
      <c r="K1709" s="89" t="str">
        <f>"00052028"</f>
        <v>00052028</v>
      </c>
    </row>
    <row r="1710" spans="1:11" ht="42.75" x14ac:dyDescent="0.25">
      <c r="A1710" s="88">
        <v>108</v>
      </c>
      <c r="B1710" s="89" t="s">
        <v>26</v>
      </c>
      <c r="C1710" s="88" t="s">
        <v>0</v>
      </c>
      <c r="D1710" s="89"/>
      <c r="E1710" s="90">
        <v>29058</v>
      </c>
      <c r="F1710" s="88">
        <v>7</v>
      </c>
      <c r="G1710" s="89" t="s">
        <v>4129</v>
      </c>
      <c r="H1710" s="89" t="s">
        <v>4130</v>
      </c>
      <c r="I1710" s="89" t="s">
        <v>66</v>
      </c>
      <c r="J1710" s="89" t="s">
        <v>1369</v>
      </c>
      <c r="K1710" s="89" t="str">
        <f>"00052027"</f>
        <v>00052027</v>
      </c>
    </row>
    <row r="1711" spans="1:11" ht="42.75" x14ac:dyDescent="0.25">
      <c r="A1711" s="88">
        <v>108</v>
      </c>
      <c r="B1711" s="89" t="s">
        <v>26</v>
      </c>
      <c r="C1711" s="88" t="s">
        <v>0</v>
      </c>
      <c r="D1711" s="89"/>
      <c r="E1711" s="90">
        <v>26233</v>
      </c>
      <c r="F1711" s="88">
        <v>7</v>
      </c>
      <c r="G1711" s="89" t="s">
        <v>4132</v>
      </c>
      <c r="H1711" s="89" t="s">
        <v>4130</v>
      </c>
      <c r="I1711" s="89" t="s">
        <v>66</v>
      </c>
      <c r="J1711" s="89" t="s">
        <v>954</v>
      </c>
      <c r="K1711" s="89" t="str">
        <f>"00051914"</f>
        <v>00051914</v>
      </c>
    </row>
    <row r="1712" spans="1:11" ht="57" x14ac:dyDescent="0.25">
      <c r="A1712" s="88">
        <v>108</v>
      </c>
      <c r="B1712" s="89" t="s">
        <v>26</v>
      </c>
      <c r="C1712" s="88" t="s">
        <v>0</v>
      </c>
      <c r="D1712" s="89"/>
      <c r="E1712" s="90">
        <v>9511</v>
      </c>
      <c r="F1712" s="88">
        <v>7</v>
      </c>
      <c r="G1712" s="89" t="s">
        <v>4141</v>
      </c>
      <c r="H1712" s="89" t="s">
        <v>4142</v>
      </c>
      <c r="I1712" s="89" t="s">
        <v>66</v>
      </c>
      <c r="J1712" s="89" t="s">
        <v>1366</v>
      </c>
      <c r="K1712" s="89" t="s">
        <v>6060</v>
      </c>
    </row>
    <row r="1713" spans="1:11" ht="71.25" x14ac:dyDescent="0.25">
      <c r="A1713" s="88">
        <v>108</v>
      </c>
      <c r="B1713" s="89" t="s">
        <v>26</v>
      </c>
      <c r="C1713" s="88" t="s">
        <v>0</v>
      </c>
      <c r="D1713" s="89"/>
      <c r="E1713" s="90">
        <v>30280</v>
      </c>
      <c r="F1713" s="88">
        <v>7</v>
      </c>
      <c r="G1713" s="89" t="s">
        <v>5369</v>
      </c>
      <c r="H1713" s="89" t="s">
        <v>4139</v>
      </c>
      <c r="I1713" s="89" t="s">
        <v>66</v>
      </c>
      <c r="J1713" s="89" t="s">
        <v>4140</v>
      </c>
      <c r="K1713" s="89" t="str">
        <f>"00051913"</f>
        <v>00051913</v>
      </c>
    </row>
    <row r="1714" spans="1:11" ht="99.75" x14ac:dyDescent="0.25">
      <c r="A1714" s="88">
        <v>108</v>
      </c>
      <c r="B1714" s="89" t="s">
        <v>26</v>
      </c>
      <c r="C1714" s="88" t="s">
        <v>0</v>
      </c>
      <c r="D1714" s="89"/>
      <c r="E1714" s="90">
        <v>96847</v>
      </c>
      <c r="F1714" s="88">
        <v>7</v>
      </c>
      <c r="G1714" s="89" t="s">
        <v>4143</v>
      </c>
      <c r="H1714" s="89" t="s">
        <v>4135</v>
      </c>
      <c r="I1714" s="89" t="s">
        <v>4136</v>
      </c>
      <c r="J1714" s="89" t="s">
        <v>4137</v>
      </c>
      <c r="K1714" s="89" t="s">
        <v>6074</v>
      </c>
    </row>
    <row r="1715" spans="1:11" ht="99.75" x14ac:dyDescent="0.25">
      <c r="A1715" s="88">
        <v>108</v>
      </c>
      <c r="B1715" s="89" t="s">
        <v>26</v>
      </c>
      <c r="C1715" s="88" t="s">
        <v>0</v>
      </c>
      <c r="D1715" s="89"/>
      <c r="E1715" s="90">
        <v>67342</v>
      </c>
      <c r="F1715" s="88">
        <v>7</v>
      </c>
      <c r="G1715" s="89" t="s">
        <v>4144</v>
      </c>
      <c r="H1715" s="89" t="s">
        <v>4126</v>
      </c>
      <c r="I1715" s="89" t="s">
        <v>849</v>
      </c>
      <c r="J1715" s="89" t="s">
        <v>4124</v>
      </c>
      <c r="K1715" s="89" t="s">
        <v>6075</v>
      </c>
    </row>
    <row r="1716" spans="1:11" ht="99.75" x14ac:dyDescent="0.25">
      <c r="A1716" s="88">
        <v>108</v>
      </c>
      <c r="B1716" s="89" t="s">
        <v>26</v>
      </c>
      <c r="C1716" s="88" t="s">
        <v>0</v>
      </c>
      <c r="D1716" s="89"/>
      <c r="E1716" s="90">
        <v>96847</v>
      </c>
      <c r="F1716" s="88">
        <v>7</v>
      </c>
      <c r="G1716" s="89" t="s">
        <v>4145</v>
      </c>
      <c r="H1716" s="89" t="s">
        <v>4135</v>
      </c>
      <c r="I1716" s="89" t="s">
        <v>4136</v>
      </c>
      <c r="J1716" s="89" t="s">
        <v>4137</v>
      </c>
      <c r="K1716" s="89" t="s">
        <v>6076</v>
      </c>
    </row>
    <row r="1717" spans="1:11" ht="57" x14ac:dyDescent="0.25">
      <c r="A1717" s="88">
        <v>108</v>
      </c>
      <c r="B1717" s="89" t="s">
        <v>26</v>
      </c>
      <c r="C1717" s="88" t="s">
        <v>0</v>
      </c>
      <c r="D1717" s="89"/>
      <c r="E1717" s="90">
        <v>36881</v>
      </c>
      <c r="F1717" s="88">
        <v>7</v>
      </c>
      <c r="G1717" s="89" t="s">
        <v>4147</v>
      </c>
      <c r="H1717" s="89" t="s">
        <v>4148</v>
      </c>
      <c r="I1717" s="89" t="s">
        <v>849</v>
      </c>
      <c r="J1717" s="89" t="s">
        <v>4124</v>
      </c>
      <c r="K1717" s="89" t="str">
        <f>"00049905"</f>
        <v>00049905</v>
      </c>
    </row>
    <row r="1718" spans="1:11" ht="57" x14ac:dyDescent="0.25">
      <c r="A1718" s="88">
        <v>108</v>
      </c>
      <c r="B1718" s="89" t="s">
        <v>26</v>
      </c>
      <c r="C1718" s="88" t="s">
        <v>0</v>
      </c>
      <c r="D1718" s="89"/>
      <c r="E1718" s="90">
        <v>67357</v>
      </c>
      <c r="F1718" s="88">
        <v>7</v>
      </c>
      <c r="G1718" s="89" t="s">
        <v>4143</v>
      </c>
      <c r="H1718" s="89" t="s">
        <v>4138</v>
      </c>
      <c r="I1718" s="89" t="s">
        <v>4136</v>
      </c>
      <c r="J1718" s="89" t="s">
        <v>4137</v>
      </c>
      <c r="K1718" s="89" t="str">
        <f>"00052343"</f>
        <v>00052343</v>
      </c>
    </row>
    <row r="1719" spans="1:11" ht="42.75" x14ac:dyDescent="0.25">
      <c r="A1719" s="88">
        <v>108</v>
      </c>
      <c r="B1719" s="89" t="s">
        <v>26</v>
      </c>
      <c r="C1719" s="88" t="s">
        <v>0</v>
      </c>
      <c r="D1719" s="89"/>
      <c r="E1719" s="90">
        <v>41183</v>
      </c>
      <c r="F1719" s="88">
        <v>7</v>
      </c>
      <c r="G1719" s="89" t="s">
        <v>4151</v>
      </c>
      <c r="H1719" s="89" t="s">
        <v>3173</v>
      </c>
      <c r="I1719" s="89" t="s">
        <v>66</v>
      </c>
      <c r="J1719" s="89" t="s">
        <v>1366</v>
      </c>
      <c r="K1719" s="89" t="s">
        <v>6582</v>
      </c>
    </row>
    <row r="1720" spans="1:11" ht="42.75" x14ac:dyDescent="0.25">
      <c r="A1720" s="88">
        <v>108</v>
      </c>
      <c r="B1720" s="89" t="s">
        <v>26</v>
      </c>
      <c r="C1720" s="88" t="s">
        <v>0</v>
      </c>
      <c r="D1720" s="89"/>
      <c r="E1720" s="90">
        <v>32681</v>
      </c>
      <c r="F1720" s="88">
        <v>7</v>
      </c>
      <c r="G1720" s="89" t="s">
        <v>4129</v>
      </c>
      <c r="H1720" s="89" t="s">
        <v>4159</v>
      </c>
      <c r="I1720" s="89" t="s">
        <v>66</v>
      </c>
      <c r="J1720" s="89" t="s">
        <v>1369</v>
      </c>
      <c r="K1720" s="89" t="str">
        <f>"00048834"</f>
        <v>00048834</v>
      </c>
    </row>
    <row r="1721" spans="1:11" ht="42.75" x14ac:dyDescent="0.25">
      <c r="A1721" s="88">
        <v>108</v>
      </c>
      <c r="B1721" s="89" t="s">
        <v>26</v>
      </c>
      <c r="C1721" s="88" t="s">
        <v>0</v>
      </c>
      <c r="D1721" s="89"/>
      <c r="E1721" s="90">
        <v>21647</v>
      </c>
      <c r="F1721" s="88">
        <v>7</v>
      </c>
      <c r="G1721" s="89" t="s">
        <v>5370</v>
      </c>
      <c r="H1721" s="89" t="s">
        <v>4152</v>
      </c>
      <c r="I1721" s="89" t="s">
        <v>66</v>
      </c>
      <c r="J1721" s="89" t="s">
        <v>4153</v>
      </c>
      <c r="K1721" s="89" t="str">
        <f>"00049436"</f>
        <v>00049436</v>
      </c>
    </row>
    <row r="1722" spans="1:11" ht="71.25" x14ac:dyDescent="0.25">
      <c r="A1722" s="88">
        <v>108</v>
      </c>
      <c r="B1722" s="89" t="s">
        <v>26</v>
      </c>
      <c r="C1722" s="88" t="s">
        <v>0</v>
      </c>
      <c r="D1722" s="89"/>
      <c r="E1722" s="90">
        <v>33132</v>
      </c>
      <c r="F1722" s="88">
        <v>7</v>
      </c>
      <c r="G1722" s="89" t="s">
        <v>1389</v>
      </c>
      <c r="H1722" s="89" t="s">
        <v>1390</v>
      </c>
      <c r="I1722" s="89" t="s">
        <v>66</v>
      </c>
      <c r="J1722" s="89" t="s">
        <v>1391</v>
      </c>
      <c r="K1722" s="89" t="str">
        <f>"00048695"</f>
        <v>00048695</v>
      </c>
    </row>
    <row r="1723" spans="1:11" ht="42.75" x14ac:dyDescent="0.25">
      <c r="A1723" s="88">
        <v>108</v>
      </c>
      <c r="B1723" s="89" t="s">
        <v>26</v>
      </c>
      <c r="C1723" s="88" t="s">
        <v>0</v>
      </c>
      <c r="D1723" s="89"/>
      <c r="E1723" s="90">
        <v>37712</v>
      </c>
      <c r="F1723" s="88">
        <v>7</v>
      </c>
      <c r="G1723" s="89" t="s">
        <v>5371</v>
      </c>
      <c r="H1723" s="89" t="s">
        <v>4154</v>
      </c>
      <c r="I1723" s="89" t="s">
        <v>66</v>
      </c>
      <c r="J1723" s="89" t="s">
        <v>954</v>
      </c>
      <c r="K1723" s="89" t="str">
        <f>"00048696"</f>
        <v>00048696</v>
      </c>
    </row>
    <row r="1724" spans="1:11" ht="42.75" x14ac:dyDescent="0.25">
      <c r="A1724" s="88">
        <v>108</v>
      </c>
      <c r="B1724" s="89" t="s">
        <v>26</v>
      </c>
      <c r="C1724" s="88" t="s">
        <v>0</v>
      </c>
      <c r="D1724" s="89"/>
      <c r="E1724" s="90">
        <v>42293</v>
      </c>
      <c r="F1724" s="88">
        <v>7</v>
      </c>
      <c r="G1724" s="89" t="s">
        <v>5371</v>
      </c>
      <c r="H1724" s="89" t="s">
        <v>1390</v>
      </c>
      <c r="I1724" s="89" t="s">
        <v>66</v>
      </c>
      <c r="J1724" s="89" t="s">
        <v>1069</v>
      </c>
      <c r="K1724" s="89" t="str">
        <f>"00048889"</f>
        <v>00048889</v>
      </c>
    </row>
    <row r="1725" spans="1:11" ht="42.75" x14ac:dyDescent="0.25">
      <c r="A1725" s="88">
        <v>108</v>
      </c>
      <c r="B1725" s="89" t="s">
        <v>26</v>
      </c>
      <c r="C1725" s="88" t="s">
        <v>0</v>
      </c>
      <c r="D1725" s="89"/>
      <c r="E1725" s="90">
        <v>28551</v>
      </c>
      <c r="F1725" s="88">
        <v>7</v>
      </c>
      <c r="G1725" s="89" t="s">
        <v>4149</v>
      </c>
      <c r="H1725" s="89" t="s">
        <v>4155</v>
      </c>
      <c r="I1725" s="89" t="s">
        <v>66</v>
      </c>
      <c r="J1725" s="89" t="s">
        <v>1384</v>
      </c>
      <c r="K1725" s="89" t="s">
        <v>6581</v>
      </c>
    </row>
    <row r="1726" spans="1:11" ht="42.75" x14ac:dyDescent="0.25">
      <c r="A1726" s="88">
        <v>108</v>
      </c>
      <c r="B1726" s="89" t="s">
        <v>26</v>
      </c>
      <c r="C1726" s="88" t="s">
        <v>0</v>
      </c>
      <c r="D1726" s="89"/>
      <c r="E1726" s="90">
        <v>36901</v>
      </c>
      <c r="F1726" s="88">
        <v>7</v>
      </c>
      <c r="G1726" s="89" t="s">
        <v>4149</v>
      </c>
      <c r="H1726" s="89" t="s">
        <v>4150</v>
      </c>
      <c r="I1726" s="89" t="s">
        <v>66</v>
      </c>
      <c r="J1726" s="89" t="s">
        <v>1366</v>
      </c>
      <c r="K1726" s="89" t="str">
        <f>"00048579"</f>
        <v>00048579</v>
      </c>
    </row>
    <row r="1727" spans="1:11" ht="42.75" x14ac:dyDescent="0.25">
      <c r="A1727" s="88">
        <v>108</v>
      </c>
      <c r="B1727" s="89" t="s">
        <v>26</v>
      </c>
      <c r="C1727" s="88" t="s">
        <v>0</v>
      </c>
      <c r="D1727" s="89"/>
      <c r="E1727" s="90">
        <v>32440</v>
      </c>
      <c r="F1727" s="88">
        <v>7</v>
      </c>
      <c r="G1727" s="89" t="s">
        <v>4156</v>
      </c>
      <c r="H1727" s="89" t="s">
        <v>4157</v>
      </c>
      <c r="I1727" s="89" t="s">
        <v>66</v>
      </c>
      <c r="J1727" s="89" t="s">
        <v>4158</v>
      </c>
      <c r="K1727" s="89" t="str">
        <f>"00052355"</f>
        <v>00052355</v>
      </c>
    </row>
    <row r="1728" spans="1:11" ht="42.75" x14ac:dyDescent="0.25">
      <c r="A1728" s="88">
        <v>108</v>
      </c>
      <c r="B1728" s="89" t="s">
        <v>26</v>
      </c>
      <c r="C1728" s="88" t="s">
        <v>0</v>
      </c>
      <c r="D1728" s="89"/>
      <c r="E1728" s="90">
        <v>31980</v>
      </c>
      <c r="F1728" s="88">
        <v>7</v>
      </c>
      <c r="G1728" s="89" t="s">
        <v>4156</v>
      </c>
      <c r="H1728" s="89" t="s">
        <v>4157</v>
      </c>
      <c r="I1728" s="89" t="s">
        <v>66</v>
      </c>
      <c r="J1728" s="89" t="s">
        <v>954</v>
      </c>
      <c r="K1728" s="89" t="str">
        <f>"00052358"</f>
        <v>00052358</v>
      </c>
    </row>
    <row r="1729" spans="1:11" ht="57" x14ac:dyDescent="0.25">
      <c r="A1729" s="88">
        <v>108</v>
      </c>
      <c r="B1729" s="89" t="s">
        <v>26</v>
      </c>
      <c r="C1729" s="88" t="s">
        <v>0</v>
      </c>
      <c r="D1729" s="89"/>
      <c r="E1729" s="90">
        <v>71430</v>
      </c>
      <c r="F1729" s="88">
        <v>7</v>
      </c>
      <c r="G1729" s="89" t="s">
        <v>4131</v>
      </c>
      <c r="H1729" s="89" t="s">
        <v>4138</v>
      </c>
      <c r="I1729" s="89" t="s">
        <v>4136</v>
      </c>
      <c r="J1729" s="89" t="s">
        <v>4137</v>
      </c>
      <c r="K1729" s="89" t="str">
        <f>"00052198"</f>
        <v>00052198</v>
      </c>
    </row>
    <row r="1730" spans="1:11" ht="71.25" x14ac:dyDescent="0.25">
      <c r="A1730" s="88">
        <v>108</v>
      </c>
      <c r="B1730" s="89" t="s">
        <v>26</v>
      </c>
      <c r="C1730" s="88" t="s">
        <v>0</v>
      </c>
      <c r="D1730" s="89"/>
      <c r="E1730" s="90">
        <v>36308</v>
      </c>
      <c r="F1730" s="88">
        <v>7</v>
      </c>
      <c r="G1730" s="89" t="s">
        <v>5372</v>
      </c>
      <c r="H1730" s="89" t="s">
        <v>4160</v>
      </c>
      <c r="I1730" s="89" t="s">
        <v>66</v>
      </c>
      <c r="J1730" s="89" t="s">
        <v>4161</v>
      </c>
      <c r="K1730" s="89" t="str">
        <f>"00052641"</f>
        <v>00052641</v>
      </c>
    </row>
    <row r="1731" spans="1:11" x14ac:dyDescent="0.25">
      <c r="A1731" s="88">
        <v>108</v>
      </c>
      <c r="B1731" s="89" t="s">
        <v>883</v>
      </c>
      <c r="C1731" s="88" t="s">
        <v>0</v>
      </c>
      <c r="D1731" s="94">
        <v>30283</v>
      </c>
      <c r="E1731" s="28"/>
      <c r="F1731" s="88">
        <v>7</v>
      </c>
      <c r="G1731" s="89" t="s">
        <v>889</v>
      </c>
      <c r="H1731" s="89"/>
      <c r="I1731" s="89" t="s">
        <v>885</v>
      </c>
      <c r="J1731" s="89"/>
      <c r="K1731" s="89" t="str">
        <f>"　"</f>
        <v>　</v>
      </c>
    </row>
    <row r="1732" spans="1:11" ht="71.25" x14ac:dyDescent="0.25">
      <c r="A1732" s="88">
        <v>108</v>
      </c>
      <c r="B1732" s="89" t="s">
        <v>883</v>
      </c>
      <c r="C1732" s="88" t="s">
        <v>0</v>
      </c>
      <c r="D1732" s="89"/>
      <c r="E1732" s="91">
        <v>30283</v>
      </c>
      <c r="F1732" s="88">
        <v>7</v>
      </c>
      <c r="G1732" s="89" t="s">
        <v>1807</v>
      </c>
      <c r="H1732" s="89" t="s">
        <v>3341</v>
      </c>
      <c r="I1732" s="89" t="s">
        <v>32</v>
      </c>
      <c r="J1732" s="89" t="s">
        <v>294</v>
      </c>
      <c r="K1732" s="89" t="str">
        <f>"00052098"</f>
        <v>00052098</v>
      </c>
    </row>
    <row r="1733" spans="1:11" x14ac:dyDescent="0.25">
      <c r="A1733" s="88">
        <v>108</v>
      </c>
      <c r="B1733" s="89" t="s">
        <v>883</v>
      </c>
      <c r="C1733" s="88" t="s">
        <v>0</v>
      </c>
      <c r="D1733" s="94">
        <v>27969</v>
      </c>
      <c r="E1733" s="28"/>
      <c r="F1733" s="88">
        <v>7</v>
      </c>
      <c r="G1733" s="89" t="s">
        <v>889</v>
      </c>
      <c r="H1733" s="89"/>
      <c r="I1733" s="89" t="s">
        <v>885</v>
      </c>
      <c r="J1733" s="89"/>
      <c r="K1733" s="89" t="str">
        <f>"　"</f>
        <v>　</v>
      </c>
    </row>
    <row r="1734" spans="1:11" ht="71.25" x14ac:dyDescent="0.25">
      <c r="A1734" s="88">
        <v>108</v>
      </c>
      <c r="B1734" s="89" t="s">
        <v>883</v>
      </c>
      <c r="C1734" s="88" t="s">
        <v>0</v>
      </c>
      <c r="D1734" s="89"/>
      <c r="E1734" s="91">
        <v>27969</v>
      </c>
      <c r="F1734" s="88">
        <v>7</v>
      </c>
      <c r="G1734" s="89" t="s">
        <v>3342</v>
      </c>
      <c r="H1734" s="89" t="s">
        <v>2668</v>
      </c>
      <c r="I1734" s="89" t="s">
        <v>32</v>
      </c>
      <c r="J1734" s="89" t="s">
        <v>294</v>
      </c>
      <c r="K1734" s="89" t="str">
        <f>"00052649"</f>
        <v>00052649</v>
      </c>
    </row>
    <row r="1735" spans="1:11" x14ac:dyDescent="0.25">
      <c r="A1735" s="88">
        <v>108</v>
      </c>
      <c r="B1735" s="89" t="s">
        <v>883</v>
      </c>
      <c r="C1735" s="88" t="s">
        <v>0</v>
      </c>
      <c r="D1735" s="94">
        <v>13249</v>
      </c>
      <c r="E1735" s="28"/>
      <c r="F1735" s="88">
        <v>7</v>
      </c>
      <c r="G1735" s="89" t="s">
        <v>889</v>
      </c>
      <c r="H1735" s="89"/>
      <c r="I1735" s="89" t="s">
        <v>885</v>
      </c>
      <c r="J1735" s="89"/>
      <c r="K1735" s="89" t="str">
        <f>"　"</f>
        <v>　</v>
      </c>
    </row>
    <row r="1736" spans="1:11" ht="71.25" x14ac:dyDescent="0.25">
      <c r="A1736" s="88">
        <v>108</v>
      </c>
      <c r="B1736" s="89" t="s">
        <v>883</v>
      </c>
      <c r="C1736" s="88" t="s">
        <v>0</v>
      </c>
      <c r="D1736" s="89"/>
      <c r="E1736" s="91">
        <v>13249</v>
      </c>
      <c r="F1736" s="88">
        <v>7</v>
      </c>
      <c r="G1736" s="89" t="s">
        <v>1809</v>
      </c>
      <c r="H1736" s="89" t="s">
        <v>1810</v>
      </c>
      <c r="I1736" s="89" t="s">
        <v>32</v>
      </c>
      <c r="J1736" s="89" t="s">
        <v>294</v>
      </c>
      <c r="K1736" s="89" t="str">
        <f>"00052795"</f>
        <v>00052795</v>
      </c>
    </row>
    <row r="1737" spans="1:11" x14ac:dyDescent="0.25">
      <c r="A1737" s="88">
        <v>108</v>
      </c>
      <c r="B1737" s="89" t="s">
        <v>883</v>
      </c>
      <c r="C1737" s="88" t="s">
        <v>0</v>
      </c>
      <c r="D1737" s="94">
        <v>29774</v>
      </c>
      <c r="E1737" s="28"/>
      <c r="F1737" s="88">
        <v>7</v>
      </c>
      <c r="G1737" s="89" t="s">
        <v>889</v>
      </c>
      <c r="H1737" s="89"/>
      <c r="I1737" s="89" t="s">
        <v>885</v>
      </c>
      <c r="J1737" s="89"/>
      <c r="K1737" s="89" t="str">
        <f>"　"</f>
        <v>　</v>
      </c>
    </row>
    <row r="1738" spans="1:11" ht="71.25" x14ac:dyDescent="0.25">
      <c r="A1738" s="88">
        <v>108</v>
      </c>
      <c r="B1738" s="89" t="s">
        <v>883</v>
      </c>
      <c r="C1738" s="88" t="s">
        <v>0</v>
      </c>
      <c r="D1738" s="89"/>
      <c r="E1738" s="91">
        <v>29774</v>
      </c>
      <c r="F1738" s="88">
        <v>7</v>
      </c>
      <c r="G1738" s="89" t="s">
        <v>3343</v>
      </c>
      <c r="H1738" s="89" t="s">
        <v>1808</v>
      </c>
      <c r="I1738" s="89" t="s">
        <v>32</v>
      </c>
      <c r="J1738" s="89" t="s">
        <v>294</v>
      </c>
      <c r="K1738" s="89" t="str">
        <f>"00052518"</f>
        <v>00052518</v>
      </c>
    </row>
    <row r="1739" spans="1:11" ht="28.5" x14ac:dyDescent="0.25">
      <c r="A1739" s="88">
        <v>108</v>
      </c>
      <c r="B1739" s="89" t="s">
        <v>12</v>
      </c>
      <c r="C1739" s="88" t="s">
        <v>0</v>
      </c>
      <c r="D1739" s="91">
        <v>30090000</v>
      </c>
      <c r="E1739" s="28"/>
      <c r="F1739" s="88">
        <v>7</v>
      </c>
      <c r="G1739" s="89" t="s">
        <v>52</v>
      </c>
      <c r="H1739" s="89"/>
      <c r="I1739" s="89" t="s">
        <v>921</v>
      </c>
      <c r="J1739" s="89"/>
      <c r="K1739" s="89" t="str">
        <f>"　"</f>
        <v>　</v>
      </c>
    </row>
    <row r="1740" spans="1:11" ht="71.25" x14ac:dyDescent="0.25">
      <c r="A1740" s="88">
        <v>108</v>
      </c>
      <c r="B1740" s="89" t="s">
        <v>1034</v>
      </c>
      <c r="C1740" s="88" t="s">
        <v>0</v>
      </c>
      <c r="D1740" s="89"/>
      <c r="E1740" s="91">
        <v>66252</v>
      </c>
      <c r="F1740" s="88">
        <v>7</v>
      </c>
      <c r="G1740" s="89" t="s">
        <v>1035</v>
      </c>
      <c r="H1740" s="89" t="s">
        <v>1036</v>
      </c>
      <c r="I1740" s="89" t="s">
        <v>66</v>
      </c>
      <c r="J1740" s="89" t="s">
        <v>1037</v>
      </c>
      <c r="K1740" s="89" t="str">
        <f>"00046955"</f>
        <v>00046955</v>
      </c>
    </row>
    <row r="1741" spans="1:11" ht="57" x14ac:dyDescent="0.25">
      <c r="A1741" s="88">
        <v>108</v>
      </c>
      <c r="B1741" s="89" t="s">
        <v>170</v>
      </c>
      <c r="C1741" s="88" t="s">
        <v>0</v>
      </c>
      <c r="D1741" s="89"/>
      <c r="E1741" s="91">
        <v>39179</v>
      </c>
      <c r="F1741" s="88">
        <v>7</v>
      </c>
      <c r="G1741" s="89" t="s">
        <v>996</v>
      </c>
      <c r="H1741" s="89" t="s">
        <v>997</v>
      </c>
      <c r="I1741" s="89" t="s">
        <v>998</v>
      </c>
      <c r="J1741" s="89" t="s">
        <v>999</v>
      </c>
      <c r="K1741" s="89" t="str">
        <f>"00048837"</f>
        <v>00048837</v>
      </c>
    </row>
    <row r="1742" spans="1:11" ht="99.75" x14ac:dyDescent="0.25">
      <c r="A1742" s="88">
        <v>108</v>
      </c>
      <c r="B1742" s="89" t="s">
        <v>256</v>
      </c>
      <c r="C1742" s="88" t="s">
        <v>0</v>
      </c>
      <c r="D1742" s="89"/>
      <c r="E1742" s="91">
        <v>37417</v>
      </c>
      <c r="F1742" s="88">
        <v>7</v>
      </c>
      <c r="G1742" s="89" t="s">
        <v>986</v>
      </c>
      <c r="H1742" s="89" t="s">
        <v>987</v>
      </c>
      <c r="I1742" s="89" t="s">
        <v>988</v>
      </c>
      <c r="J1742" s="89" t="s">
        <v>989</v>
      </c>
      <c r="K1742" s="89" t="str">
        <f>"00047932"</f>
        <v>00047932</v>
      </c>
    </row>
    <row r="1743" spans="1:11" ht="99.75" x14ac:dyDescent="0.25">
      <c r="A1743" s="88">
        <v>108</v>
      </c>
      <c r="B1743" s="89" t="s">
        <v>256</v>
      </c>
      <c r="C1743" s="88" t="s">
        <v>0</v>
      </c>
      <c r="D1743" s="89"/>
      <c r="E1743" s="91">
        <v>5557</v>
      </c>
      <c r="F1743" s="88">
        <v>7</v>
      </c>
      <c r="G1743" s="89" t="s">
        <v>990</v>
      </c>
      <c r="H1743" s="89" t="s">
        <v>991</v>
      </c>
      <c r="I1743" s="89" t="s">
        <v>988</v>
      </c>
      <c r="J1743" s="89" t="s">
        <v>989</v>
      </c>
      <c r="K1743" s="89" t="str">
        <f>"00047937"</f>
        <v>00047937</v>
      </c>
    </row>
    <row r="1744" spans="1:11" ht="57" x14ac:dyDescent="0.25">
      <c r="A1744" s="88">
        <v>108</v>
      </c>
      <c r="B1744" s="89" t="s">
        <v>992</v>
      </c>
      <c r="C1744" s="88" t="s">
        <v>0</v>
      </c>
      <c r="D1744" s="89"/>
      <c r="E1744" s="91">
        <v>10000</v>
      </c>
      <c r="F1744" s="88">
        <v>7</v>
      </c>
      <c r="G1744" s="89" t="s">
        <v>993</v>
      </c>
      <c r="H1744" s="89" t="s">
        <v>994</v>
      </c>
      <c r="I1744" s="89" t="s">
        <v>185</v>
      </c>
      <c r="J1744" s="89" t="s">
        <v>995</v>
      </c>
      <c r="K1744" s="89" t="str">
        <f>"00047629"</f>
        <v>00047629</v>
      </c>
    </row>
    <row r="1745" spans="1:11" ht="42.75" x14ac:dyDescent="0.25">
      <c r="A1745" s="88">
        <v>108</v>
      </c>
      <c r="B1745" s="89" t="s">
        <v>983</v>
      </c>
      <c r="C1745" s="88" t="s">
        <v>0</v>
      </c>
      <c r="D1745" s="89"/>
      <c r="E1745" s="91">
        <v>56774</v>
      </c>
      <c r="F1745" s="88">
        <v>7</v>
      </c>
      <c r="G1745" s="89" t="s">
        <v>984</v>
      </c>
      <c r="H1745" s="89" t="s">
        <v>985</v>
      </c>
      <c r="I1745" s="89" t="s">
        <v>80</v>
      </c>
      <c r="J1745" s="89" t="s">
        <v>80</v>
      </c>
      <c r="K1745" s="89" t="str">
        <f>"00047080"</f>
        <v>00047080</v>
      </c>
    </row>
    <row r="1746" spans="1:11" ht="71.25" x14ac:dyDescent="0.25">
      <c r="A1746" s="88">
        <v>108</v>
      </c>
      <c r="B1746" s="89" t="s">
        <v>211</v>
      </c>
      <c r="C1746" s="88" t="s">
        <v>0</v>
      </c>
      <c r="D1746" s="89"/>
      <c r="E1746" s="91">
        <v>61209</v>
      </c>
      <c r="F1746" s="88">
        <v>7</v>
      </c>
      <c r="G1746" s="89" t="s">
        <v>1033</v>
      </c>
      <c r="H1746" s="89" t="s">
        <v>628</v>
      </c>
      <c r="I1746" s="89" t="s">
        <v>156</v>
      </c>
      <c r="J1746" s="89" t="s">
        <v>1023</v>
      </c>
      <c r="K1746" s="89" t="str">
        <f>"00046810"</f>
        <v>00046810</v>
      </c>
    </row>
    <row r="1747" spans="1:11" ht="171" x14ac:dyDescent="0.25">
      <c r="A1747" s="88">
        <v>108</v>
      </c>
      <c r="B1747" s="89" t="s">
        <v>170</v>
      </c>
      <c r="C1747" s="88" t="s">
        <v>0</v>
      </c>
      <c r="D1747" s="89"/>
      <c r="E1747" s="91">
        <v>81549</v>
      </c>
      <c r="F1747" s="88">
        <v>7</v>
      </c>
      <c r="G1747" s="89" t="s">
        <v>1013</v>
      </c>
      <c r="H1747" s="89" t="s">
        <v>1016</v>
      </c>
      <c r="I1747" s="89" t="s">
        <v>998</v>
      </c>
      <c r="J1747" s="89" t="s">
        <v>1017</v>
      </c>
      <c r="K1747" s="89" t="str">
        <f>"00046850"</f>
        <v>00046850</v>
      </c>
    </row>
    <row r="1748" spans="1:11" ht="57" x14ac:dyDescent="0.25">
      <c r="A1748" s="88">
        <v>108</v>
      </c>
      <c r="B1748" s="89" t="s">
        <v>1000</v>
      </c>
      <c r="C1748" s="88" t="s">
        <v>0</v>
      </c>
      <c r="D1748" s="89"/>
      <c r="E1748" s="91">
        <v>51362</v>
      </c>
      <c r="F1748" s="88">
        <v>7</v>
      </c>
      <c r="G1748" s="89" t="s">
        <v>1018</v>
      </c>
      <c r="H1748" s="89" t="s">
        <v>1019</v>
      </c>
      <c r="I1748" s="89" t="s">
        <v>152</v>
      </c>
      <c r="J1748" s="89" t="s">
        <v>1020</v>
      </c>
      <c r="K1748" s="89" t="str">
        <f>"00046959"</f>
        <v>00046959</v>
      </c>
    </row>
    <row r="1749" spans="1:11" ht="171" x14ac:dyDescent="0.25">
      <c r="A1749" s="88">
        <v>108</v>
      </c>
      <c r="B1749" s="89" t="s">
        <v>170</v>
      </c>
      <c r="C1749" s="88" t="s">
        <v>0</v>
      </c>
      <c r="D1749" s="89"/>
      <c r="E1749" s="91">
        <v>81549</v>
      </c>
      <c r="F1749" s="88">
        <v>7</v>
      </c>
      <c r="G1749" s="89" t="s">
        <v>1013</v>
      </c>
      <c r="H1749" s="89" t="s">
        <v>1016</v>
      </c>
      <c r="I1749" s="89" t="s">
        <v>998</v>
      </c>
      <c r="J1749" s="89" t="s">
        <v>1017</v>
      </c>
      <c r="K1749" s="89" t="str">
        <f>"00046851"</f>
        <v>00046851</v>
      </c>
    </row>
    <row r="1750" spans="1:11" ht="99.75" x14ac:dyDescent="0.25">
      <c r="A1750" s="88">
        <v>108</v>
      </c>
      <c r="B1750" s="89" t="s">
        <v>195</v>
      </c>
      <c r="C1750" s="88" t="s">
        <v>0</v>
      </c>
      <c r="D1750" s="89"/>
      <c r="E1750" s="91">
        <v>63242</v>
      </c>
      <c r="F1750" s="88">
        <v>7</v>
      </c>
      <c r="G1750" s="89" t="s">
        <v>196</v>
      </c>
      <c r="H1750" s="89" t="s">
        <v>1012</v>
      </c>
      <c r="I1750" s="89" t="s">
        <v>66</v>
      </c>
      <c r="J1750" s="89" t="s">
        <v>125</v>
      </c>
      <c r="K1750" s="89" t="str">
        <f>"00047160"</f>
        <v>00047160</v>
      </c>
    </row>
    <row r="1751" spans="1:11" ht="99.75" x14ac:dyDescent="0.25">
      <c r="A1751" s="88">
        <v>108</v>
      </c>
      <c r="B1751" s="89" t="s">
        <v>195</v>
      </c>
      <c r="C1751" s="88" t="s">
        <v>0</v>
      </c>
      <c r="D1751" s="89"/>
      <c r="E1751" s="91">
        <v>62422</v>
      </c>
      <c r="F1751" s="88">
        <v>7</v>
      </c>
      <c r="G1751" s="89" t="s">
        <v>196</v>
      </c>
      <c r="H1751" s="89" t="s">
        <v>1012</v>
      </c>
      <c r="I1751" s="89" t="s">
        <v>66</v>
      </c>
      <c r="J1751" s="89" t="s">
        <v>125</v>
      </c>
      <c r="K1751" s="89" t="str">
        <f>"00047325"</f>
        <v>00047325</v>
      </c>
    </row>
    <row r="1752" spans="1:11" ht="99.75" x14ac:dyDescent="0.25">
      <c r="A1752" s="88">
        <v>108</v>
      </c>
      <c r="B1752" s="89" t="s">
        <v>195</v>
      </c>
      <c r="C1752" s="88" t="s">
        <v>0</v>
      </c>
      <c r="D1752" s="89"/>
      <c r="E1752" s="91">
        <v>60768</v>
      </c>
      <c r="F1752" s="88">
        <v>7</v>
      </c>
      <c r="G1752" s="89" t="s">
        <v>196</v>
      </c>
      <c r="H1752" s="89" t="s">
        <v>1012</v>
      </c>
      <c r="I1752" s="89" t="s">
        <v>66</v>
      </c>
      <c r="J1752" s="89" t="s">
        <v>125</v>
      </c>
      <c r="K1752" s="89" t="str">
        <f>"00047423"</f>
        <v>00047423</v>
      </c>
    </row>
    <row r="1753" spans="1:11" ht="99.75" x14ac:dyDescent="0.25">
      <c r="A1753" s="88">
        <v>108</v>
      </c>
      <c r="B1753" s="89" t="s">
        <v>195</v>
      </c>
      <c r="C1753" s="88" t="s">
        <v>0</v>
      </c>
      <c r="D1753" s="89"/>
      <c r="E1753" s="91">
        <v>62422</v>
      </c>
      <c r="F1753" s="88">
        <v>7</v>
      </c>
      <c r="G1753" s="89" t="s">
        <v>196</v>
      </c>
      <c r="H1753" s="89" t="s">
        <v>1012</v>
      </c>
      <c r="I1753" s="89" t="s">
        <v>66</v>
      </c>
      <c r="J1753" s="89" t="s">
        <v>125</v>
      </c>
      <c r="K1753" s="89" t="str">
        <f>"00047301"</f>
        <v>00047301</v>
      </c>
    </row>
    <row r="1754" spans="1:11" ht="171" x14ac:dyDescent="0.25">
      <c r="A1754" s="88">
        <v>108</v>
      </c>
      <c r="B1754" s="89" t="s">
        <v>170</v>
      </c>
      <c r="C1754" s="88" t="s">
        <v>0</v>
      </c>
      <c r="D1754" s="89"/>
      <c r="E1754" s="91">
        <v>71756</v>
      </c>
      <c r="F1754" s="88">
        <v>7</v>
      </c>
      <c r="G1754" s="89" t="s">
        <v>1013</v>
      </c>
      <c r="H1754" s="89" t="s">
        <v>1014</v>
      </c>
      <c r="I1754" s="89" t="s">
        <v>998</v>
      </c>
      <c r="J1754" s="89" t="s">
        <v>1015</v>
      </c>
      <c r="K1754" s="89" t="str">
        <f>"00046675"</f>
        <v>00046675</v>
      </c>
    </row>
    <row r="1755" spans="1:11" ht="57" x14ac:dyDescent="0.25">
      <c r="A1755" s="88">
        <v>108</v>
      </c>
      <c r="B1755" s="89" t="s">
        <v>219</v>
      </c>
      <c r="C1755" s="88" t="s">
        <v>0</v>
      </c>
      <c r="D1755" s="89"/>
      <c r="E1755" s="91">
        <v>25000</v>
      </c>
      <c r="F1755" s="88">
        <v>7</v>
      </c>
      <c r="G1755" s="89" t="s">
        <v>1024</v>
      </c>
      <c r="H1755" s="89" t="s">
        <v>1025</v>
      </c>
      <c r="I1755" s="89" t="s">
        <v>156</v>
      </c>
      <c r="J1755" s="89" t="s">
        <v>1023</v>
      </c>
      <c r="K1755" s="89" t="str">
        <f>"00046893"</f>
        <v>00046893</v>
      </c>
    </row>
    <row r="1756" spans="1:11" ht="57" x14ac:dyDescent="0.25">
      <c r="A1756" s="88">
        <v>108</v>
      </c>
      <c r="B1756" s="89" t="s">
        <v>170</v>
      </c>
      <c r="C1756" s="88" t="s">
        <v>0</v>
      </c>
      <c r="D1756" s="89"/>
      <c r="E1756" s="91">
        <v>26640</v>
      </c>
      <c r="F1756" s="88">
        <v>7</v>
      </c>
      <c r="G1756" s="89" t="s">
        <v>1026</v>
      </c>
      <c r="H1756" s="89" t="s">
        <v>1027</v>
      </c>
      <c r="I1756" s="89" t="s">
        <v>998</v>
      </c>
      <c r="J1756" s="89" t="s">
        <v>1028</v>
      </c>
      <c r="K1756" s="89" t="str">
        <f>"00047206"</f>
        <v>00047206</v>
      </c>
    </row>
    <row r="1757" spans="1:11" ht="114" x14ac:dyDescent="0.25">
      <c r="A1757" s="88">
        <v>108</v>
      </c>
      <c r="B1757" s="89" t="s">
        <v>170</v>
      </c>
      <c r="C1757" s="88" t="s">
        <v>0</v>
      </c>
      <c r="D1757" s="89"/>
      <c r="E1757" s="91">
        <v>44908</v>
      </c>
      <c r="F1757" s="88">
        <v>7</v>
      </c>
      <c r="G1757" s="89" t="s">
        <v>1029</v>
      </c>
      <c r="H1757" s="89" t="s">
        <v>1030</v>
      </c>
      <c r="I1757" s="89" t="s">
        <v>156</v>
      </c>
      <c r="J1757" s="89" t="s">
        <v>1031</v>
      </c>
      <c r="K1757" s="89" t="str">
        <f>"00047249"</f>
        <v>00047249</v>
      </c>
    </row>
    <row r="1758" spans="1:11" ht="57" x14ac:dyDescent="0.25">
      <c r="A1758" s="88">
        <v>108</v>
      </c>
      <c r="B1758" s="89" t="s">
        <v>170</v>
      </c>
      <c r="C1758" s="88" t="s">
        <v>0</v>
      </c>
      <c r="D1758" s="89"/>
      <c r="E1758" s="91">
        <v>11740</v>
      </c>
      <c r="F1758" s="88">
        <v>7</v>
      </c>
      <c r="G1758" s="89" t="s">
        <v>1021</v>
      </c>
      <c r="H1758" s="89" t="s">
        <v>1022</v>
      </c>
      <c r="I1758" s="89" t="s">
        <v>156</v>
      </c>
      <c r="J1758" s="89" t="s">
        <v>1023</v>
      </c>
      <c r="K1758" s="89" t="str">
        <f>"00046674"</f>
        <v>00046674</v>
      </c>
    </row>
    <row r="1759" spans="1:11" ht="57" x14ac:dyDescent="0.25">
      <c r="A1759" s="88">
        <v>108</v>
      </c>
      <c r="B1759" s="89" t="s">
        <v>170</v>
      </c>
      <c r="C1759" s="88" t="s">
        <v>0</v>
      </c>
      <c r="D1759" s="89"/>
      <c r="E1759" s="91">
        <v>37443</v>
      </c>
      <c r="F1759" s="88">
        <v>7</v>
      </c>
      <c r="G1759" s="89" t="s">
        <v>1026</v>
      </c>
      <c r="H1759" s="89" t="s">
        <v>953</v>
      </c>
      <c r="I1759" s="89" t="s">
        <v>998</v>
      </c>
      <c r="J1759" s="89" t="s">
        <v>1028</v>
      </c>
      <c r="K1759" s="89" t="str">
        <f>"00047190"</f>
        <v>00047190</v>
      </c>
    </row>
    <row r="1760" spans="1:11" ht="57" x14ac:dyDescent="0.25">
      <c r="A1760" s="88">
        <v>108</v>
      </c>
      <c r="B1760" s="89" t="s">
        <v>170</v>
      </c>
      <c r="C1760" s="88" t="s">
        <v>0</v>
      </c>
      <c r="D1760" s="89"/>
      <c r="E1760" s="91">
        <v>41582</v>
      </c>
      <c r="F1760" s="88">
        <v>7</v>
      </c>
      <c r="G1760" s="89" t="s">
        <v>1032</v>
      </c>
      <c r="H1760" s="89" t="s">
        <v>176</v>
      </c>
      <c r="I1760" s="89" t="s">
        <v>113</v>
      </c>
      <c r="J1760" s="89" t="s">
        <v>177</v>
      </c>
      <c r="K1760" s="89" t="str">
        <f>"00046631"</f>
        <v>00046631</v>
      </c>
    </row>
    <row r="1761" spans="1:11" ht="57" x14ac:dyDescent="0.25">
      <c r="A1761" s="88">
        <v>108</v>
      </c>
      <c r="B1761" s="89" t="s">
        <v>1000</v>
      </c>
      <c r="C1761" s="88" t="s">
        <v>0</v>
      </c>
      <c r="D1761" s="89"/>
      <c r="E1761" s="91">
        <v>51362</v>
      </c>
      <c r="F1761" s="88">
        <v>7</v>
      </c>
      <c r="G1761" s="89" t="s">
        <v>1018</v>
      </c>
      <c r="H1761" s="89" t="s">
        <v>1019</v>
      </c>
      <c r="I1761" s="89" t="s">
        <v>152</v>
      </c>
      <c r="J1761" s="89" t="s">
        <v>1020</v>
      </c>
      <c r="K1761" s="89" t="str">
        <f>"00046938"</f>
        <v>00046938</v>
      </c>
    </row>
    <row r="1762" spans="1:11" ht="71.25" x14ac:dyDescent="0.25">
      <c r="A1762" s="88">
        <v>108</v>
      </c>
      <c r="B1762" s="89" t="s">
        <v>170</v>
      </c>
      <c r="C1762" s="88" t="s">
        <v>0</v>
      </c>
      <c r="D1762" s="89"/>
      <c r="E1762" s="91">
        <v>48360</v>
      </c>
      <c r="F1762" s="88">
        <v>7</v>
      </c>
      <c r="G1762" s="89" t="s">
        <v>1004</v>
      </c>
      <c r="H1762" s="89" t="s">
        <v>239</v>
      </c>
      <c r="I1762" s="89" t="s">
        <v>80</v>
      </c>
      <c r="J1762" s="89" t="s">
        <v>80</v>
      </c>
      <c r="K1762" s="89" t="str">
        <f>"00046820"</f>
        <v>00046820</v>
      </c>
    </row>
    <row r="1763" spans="1:11" ht="57" x14ac:dyDescent="0.25">
      <c r="A1763" s="88">
        <v>108</v>
      </c>
      <c r="B1763" s="89" t="s">
        <v>170</v>
      </c>
      <c r="C1763" s="88" t="s">
        <v>0</v>
      </c>
      <c r="D1763" s="89"/>
      <c r="E1763" s="91">
        <v>63558</v>
      </c>
      <c r="F1763" s="88">
        <v>7</v>
      </c>
      <c r="G1763" s="89" t="s">
        <v>3623</v>
      </c>
      <c r="H1763" s="89" t="s">
        <v>1491</v>
      </c>
      <c r="I1763" s="89" t="s">
        <v>998</v>
      </c>
      <c r="J1763" s="89" t="s">
        <v>3624</v>
      </c>
      <c r="K1763" s="89" t="str">
        <f>"00048520"</f>
        <v>00048520</v>
      </c>
    </row>
    <row r="1764" spans="1:11" ht="42.75" x14ac:dyDescent="0.25">
      <c r="A1764" s="88">
        <v>108</v>
      </c>
      <c r="B1764" s="89" t="s">
        <v>992</v>
      </c>
      <c r="C1764" s="88" t="s">
        <v>0</v>
      </c>
      <c r="D1764" s="89"/>
      <c r="E1764" s="91">
        <v>6004</v>
      </c>
      <c r="F1764" s="88">
        <v>7</v>
      </c>
      <c r="G1764" s="89" t="s">
        <v>1005</v>
      </c>
      <c r="H1764" s="89" t="s">
        <v>1006</v>
      </c>
      <c r="I1764" s="89" t="s">
        <v>66</v>
      </c>
      <c r="J1764" s="89" t="s">
        <v>1007</v>
      </c>
      <c r="K1764" s="89" t="str">
        <f>"00048635"</f>
        <v>00048635</v>
      </c>
    </row>
    <row r="1765" spans="1:11" ht="199.5" x14ac:dyDescent="0.25">
      <c r="A1765" s="88">
        <v>108</v>
      </c>
      <c r="B1765" s="89" t="s">
        <v>1008</v>
      </c>
      <c r="C1765" s="88" t="s">
        <v>0</v>
      </c>
      <c r="D1765" s="89"/>
      <c r="E1765" s="91">
        <v>52220</v>
      </c>
      <c r="F1765" s="88">
        <v>7</v>
      </c>
      <c r="G1765" s="89" t="s">
        <v>1009</v>
      </c>
      <c r="H1765" s="89" t="s">
        <v>1010</v>
      </c>
      <c r="I1765" s="89" t="s">
        <v>113</v>
      </c>
      <c r="J1765" s="89" t="s">
        <v>1011</v>
      </c>
      <c r="K1765" s="89" t="str">
        <f>"00048315"</f>
        <v>00048315</v>
      </c>
    </row>
    <row r="1766" spans="1:11" ht="199.5" x14ac:dyDescent="0.25">
      <c r="A1766" s="88">
        <v>108</v>
      </c>
      <c r="B1766" s="89" t="s">
        <v>1008</v>
      </c>
      <c r="C1766" s="88" t="s">
        <v>0</v>
      </c>
      <c r="D1766" s="89"/>
      <c r="E1766" s="91">
        <v>52220</v>
      </c>
      <c r="F1766" s="88">
        <v>7</v>
      </c>
      <c r="G1766" s="89" t="s">
        <v>1009</v>
      </c>
      <c r="H1766" s="89" t="s">
        <v>1010</v>
      </c>
      <c r="I1766" s="89" t="s">
        <v>113</v>
      </c>
      <c r="J1766" s="89" t="s">
        <v>1011</v>
      </c>
      <c r="K1766" s="89" t="str">
        <f>"00048400"</f>
        <v>00048400</v>
      </c>
    </row>
    <row r="1767" spans="1:11" ht="57" x14ac:dyDescent="0.25">
      <c r="A1767" s="88">
        <v>108</v>
      </c>
      <c r="B1767" s="89" t="s">
        <v>1000</v>
      </c>
      <c r="C1767" s="88" t="s">
        <v>0</v>
      </c>
      <c r="D1767" s="89"/>
      <c r="E1767" s="91">
        <v>76780</v>
      </c>
      <c r="F1767" s="88">
        <v>7</v>
      </c>
      <c r="G1767" s="89" t="s">
        <v>1001</v>
      </c>
      <c r="H1767" s="89" t="s">
        <v>1002</v>
      </c>
      <c r="I1767" s="89" t="s">
        <v>152</v>
      </c>
      <c r="J1767" s="89" t="s">
        <v>1003</v>
      </c>
      <c r="K1767" s="89" t="str">
        <f>"00048158"</f>
        <v>00048158</v>
      </c>
    </row>
    <row r="1768" spans="1:11" ht="57" x14ac:dyDescent="0.25">
      <c r="A1768" s="88">
        <v>108</v>
      </c>
      <c r="B1768" s="89" t="s">
        <v>1000</v>
      </c>
      <c r="C1768" s="88" t="s">
        <v>0</v>
      </c>
      <c r="D1768" s="89"/>
      <c r="E1768" s="91">
        <v>76780</v>
      </c>
      <c r="F1768" s="88">
        <v>7</v>
      </c>
      <c r="G1768" s="89" t="s">
        <v>1001</v>
      </c>
      <c r="H1768" s="89" t="s">
        <v>1002</v>
      </c>
      <c r="I1768" s="89" t="s">
        <v>152</v>
      </c>
      <c r="J1768" s="89" t="s">
        <v>3625</v>
      </c>
      <c r="K1768" s="89" t="str">
        <f>"00048157"</f>
        <v>00048157</v>
      </c>
    </row>
    <row r="1769" spans="1:11" ht="57" x14ac:dyDescent="0.25">
      <c r="A1769" s="88">
        <v>108</v>
      </c>
      <c r="B1769" s="89" t="s">
        <v>170</v>
      </c>
      <c r="C1769" s="88" t="s">
        <v>0</v>
      </c>
      <c r="D1769" s="89"/>
      <c r="E1769" s="91">
        <v>67135</v>
      </c>
      <c r="F1769" s="88">
        <v>7</v>
      </c>
      <c r="G1769" s="89" t="s">
        <v>3623</v>
      </c>
      <c r="H1769" s="89" t="s">
        <v>1491</v>
      </c>
      <c r="I1769" s="89" t="s">
        <v>998</v>
      </c>
      <c r="J1769" s="89" t="s">
        <v>3624</v>
      </c>
      <c r="K1769" s="89" t="str">
        <f>"00048543"</f>
        <v>00048543</v>
      </c>
    </row>
    <row r="1770" spans="1:11" ht="57" x14ac:dyDescent="0.25">
      <c r="A1770" s="88">
        <v>108</v>
      </c>
      <c r="B1770" s="89" t="s">
        <v>170</v>
      </c>
      <c r="C1770" s="88" t="s">
        <v>0</v>
      </c>
      <c r="D1770" s="89"/>
      <c r="E1770" s="91">
        <v>88742</v>
      </c>
      <c r="F1770" s="88">
        <v>7</v>
      </c>
      <c r="G1770" s="89" t="s">
        <v>3612</v>
      </c>
      <c r="H1770" s="89" t="s">
        <v>3613</v>
      </c>
      <c r="I1770" s="89" t="s">
        <v>201</v>
      </c>
      <c r="J1770" s="89" t="s">
        <v>1100</v>
      </c>
      <c r="K1770" s="89" t="str">
        <f>"00048412"</f>
        <v>00048412</v>
      </c>
    </row>
    <row r="1771" spans="1:11" ht="57" x14ac:dyDescent="0.25">
      <c r="A1771" s="88">
        <v>108</v>
      </c>
      <c r="B1771" s="89" t="s">
        <v>170</v>
      </c>
      <c r="C1771" s="88" t="s">
        <v>0</v>
      </c>
      <c r="D1771" s="89"/>
      <c r="E1771" s="91">
        <v>88742</v>
      </c>
      <c r="F1771" s="88">
        <v>7</v>
      </c>
      <c r="G1771" s="89" t="s">
        <v>3630</v>
      </c>
      <c r="H1771" s="89" t="s">
        <v>3613</v>
      </c>
      <c r="I1771" s="89" t="s">
        <v>201</v>
      </c>
      <c r="J1771" s="89" t="s">
        <v>1100</v>
      </c>
      <c r="K1771" s="89" t="str">
        <f>"00048406"</f>
        <v>00048406</v>
      </c>
    </row>
    <row r="1772" spans="1:11" ht="57" x14ac:dyDescent="0.25">
      <c r="A1772" s="88">
        <v>108</v>
      </c>
      <c r="B1772" s="89" t="s">
        <v>170</v>
      </c>
      <c r="C1772" s="88" t="s">
        <v>0</v>
      </c>
      <c r="D1772" s="89"/>
      <c r="E1772" s="91">
        <v>81121</v>
      </c>
      <c r="F1772" s="88">
        <v>7</v>
      </c>
      <c r="G1772" s="89" t="s">
        <v>3631</v>
      </c>
      <c r="H1772" s="89" t="s">
        <v>3613</v>
      </c>
      <c r="I1772" s="89" t="s">
        <v>201</v>
      </c>
      <c r="J1772" s="89" t="s">
        <v>1100</v>
      </c>
      <c r="K1772" s="89" t="str">
        <f>"00048403"</f>
        <v>00048403</v>
      </c>
    </row>
    <row r="1773" spans="1:11" ht="71.25" x14ac:dyDescent="0.25">
      <c r="A1773" s="88">
        <v>108</v>
      </c>
      <c r="B1773" s="89" t="s">
        <v>3626</v>
      </c>
      <c r="C1773" s="88" t="s">
        <v>0</v>
      </c>
      <c r="D1773" s="89"/>
      <c r="E1773" s="91">
        <v>23778</v>
      </c>
      <c r="F1773" s="88">
        <v>7</v>
      </c>
      <c r="G1773" s="89" t="s">
        <v>3627</v>
      </c>
      <c r="H1773" s="89" t="s">
        <v>3628</v>
      </c>
      <c r="I1773" s="89" t="s">
        <v>66</v>
      </c>
      <c r="J1773" s="89" t="s">
        <v>3629</v>
      </c>
      <c r="K1773" s="89" t="str">
        <f>"00049137"</f>
        <v>00049137</v>
      </c>
    </row>
    <row r="1774" spans="1:11" ht="71.25" x14ac:dyDescent="0.25">
      <c r="A1774" s="88">
        <v>108</v>
      </c>
      <c r="B1774" s="89" t="s">
        <v>3626</v>
      </c>
      <c r="C1774" s="88" t="s">
        <v>0</v>
      </c>
      <c r="D1774" s="89"/>
      <c r="E1774" s="91">
        <v>23778</v>
      </c>
      <c r="F1774" s="88">
        <v>7</v>
      </c>
      <c r="G1774" s="89" t="s">
        <v>3627</v>
      </c>
      <c r="H1774" s="89" t="s">
        <v>3628</v>
      </c>
      <c r="I1774" s="89" t="s">
        <v>66</v>
      </c>
      <c r="J1774" s="89" t="s">
        <v>3629</v>
      </c>
      <c r="K1774" s="89" t="str">
        <f>"00049139"</f>
        <v>00049139</v>
      </c>
    </row>
    <row r="1775" spans="1:11" ht="71.25" x14ac:dyDescent="0.25">
      <c r="A1775" s="88">
        <v>108</v>
      </c>
      <c r="B1775" s="89" t="s">
        <v>3626</v>
      </c>
      <c r="C1775" s="88" t="s">
        <v>0</v>
      </c>
      <c r="D1775" s="89"/>
      <c r="E1775" s="91">
        <v>23778</v>
      </c>
      <c r="F1775" s="88">
        <v>7</v>
      </c>
      <c r="G1775" s="89" t="s">
        <v>3627</v>
      </c>
      <c r="H1775" s="89" t="s">
        <v>3628</v>
      </c>
      <c r="I1775" s="89" t="s">
        <v>66</v>
      </c>
      <c r="J1775" s="89" t="s">
        <v>3629</v>
      </c>
      <c r="K1775" s="89" t="str">
        <f>"00049140"</f>
        <v>00049140</v>
      </c>
    </row>
    <row r="1776" spans="1:11" ht="57" x14ac:dyDescent="0.25">
      <c r="A1776" s="88">
        <v>108</v>
      </c>
      <c r="B1776" s="89" t="s">
        <v>170</v>
      </c>
      <c r="C1776" s="88" t="s">
        <v>0</v>
      </c>
      <c r="D1776" s="89"/>
      <c r="E1776" s="91">
        <v>63556</v>
      </c>
      <c r="F1776" s="88">
        <v>7</v>
      </c>
      <c r="G1776" s="89" t="s">
        <v>3623</v>
      </c>
      <c r="H1776" s="89" t="s">
        <v>1491</v>
      </c>
      <c r="I1776" s="89" t="s">
        <v>998</v>
      </c>
      <c r="J1776" s="89" t="s">
        <v>3624</v>
      </c>
      <c r="K1776" s="89" t="str">
        <f>"00048527"</f>
        <v>00048527</v>
      </c>
    </row>
    <row r="1777" spans="1:11" ht="71.25" x14ac:dyDescent="0.25">
      <c r="A1777" s="88">
        <v>108</v>
      </c>
      <c r="B1777" s="89" t="s">
        <v>211</v>
      </c>
      <c r="C1777" s="88" t="s">
        <v>0</v>
      </c>
      <c r="D1777" s="89"/>
      <c r="E1777" s="91">
        <v>58499</v>
      </c>
      <c r="F1777" s="88">
        <v>7</v>
      </c>
      <c r="G1777" s="89" t="s">
        <v>1033</v>
      </c>
      <c r="H1777" s="89" t="s">
        <v>628</v>
      </c>
      <c r="I1777" s="89" t="s">
        <v>156</v>
      </c>
      <c r="J1777" s="89" t="s">
        <v>1023</v>
      </c>
      <c r="K1777" s="89" t="str">
        <f>"00046811"</f>
        <v>00046811</v>
      </c>
    </row>
    <row r="1778" spans="1:11" ht="57" x14ac:dyDescent="0.25">
      <c r="A1778" s="88">
        <v>108</v>
      </c>
      <c r="B1778" s="89" t="s">
        <v>3567</v>
      </c>
      <c r="C1778" s="88" t="s">
        <v>0</v>
      </c>
      <c r="D1778" s="89"/>
      <c r="E1778" s="91">
        <v>100866</v>
      </c>
      <c r="F1778" s="88">
        <v>7</v>
      </c>
      <c r="G1778" s="89" t="s">
        <v>3568</v>
      </c>
      <c r="H1778" s="89" t="s">
        <v>3569</v>
      </c>
      <c r="I1778" s="89" t="s">
        <v>3570</v>
      </c>
      <c r="J1778" s="89" t="s">
        <v>3570</v>
      </c>
      <c r="K1778" s="89" t="str">
        <f>"00049536"</f>
        <v>00049536</v>
      </c>
    </row>
    <row r="1779" spans="1:11" ht="57" x14ac:dyDescent="0.25">
      <c r="A1779" s="88">
        <v>108</v>
      </c>
      <c r="B1779" s="89" t="s">
        <v>170</v>
      </c>
      <c r="C1779" s="88" t="s">
        <v>0</v>
      </c>
      <c r="D1779" s="89"/>
      <c r="E1779" s="91">
        <v>27390</v>
      </c>
      <c r="F1779" s="88">
        <v>7</v>
      </c>
      <c r="G1779" s="89" t="s">
        <v>3634</v>
      </c>
      <c r="H1779" s="89" t="s">
        <v>1027</v>
      </c>
      <c r="I1779" s="89" t="s">
        <v>998</v>
      </c>
      <c r="J1779" s="89" t="s">
        <v>1028</v>
      </c>
      <c r="K1779" s="89" t="str">
        <f>"00047195"</f>
        <v>00047195</v>
      </c>
    </row>
    <row r="1780" spans="1:11" ht="71.25" x14ac:dyDescent="0.25">
      <c r="A1780" s="88">
        <v>108</v>
      </c>
      <c r="B1780" s="89" t="s">
        <v>211</v>
      </c>
      <c r="C1780" s="88" t="s">
        <v>0</v>
      </c>
      <c r="D1780" s="89"/>
      <c r="E1780" s="91">
        <v>41735</v>
      </c>
      <c r="F1780" s="88">
        <v>7</v>
      </c>
      <c r="G1780" s="89" t="s">
        <v>3635</v>
      </c>
      <c r="H1780" s="89" t="s">
        <v>3636</v>
      </c>
      <c r="I1780" s="89" t="s">
        <v>156</v>
      </c>
      <c r="J1780" s="89" t="s">
        <v>1023</v>
      </c>
      <c r="K1780" s="89" t="str">
        <f>"00047836"</f>
        <v>00047836</v>
      </c>
    </row>
    <row r="1781" spans="1:11" ht="57" x14ac:dyDescent="0.25">
      <c r="A1781" s="88">
        <v>108</v>
      </c>
      <c r="B1781" s="89" t="s">
        <v>170</v>
      </c>
      <c r="C1781" s="88" t="s">
        <v>0</v>
      </c>
      <c r="D1781" s="89"/>
      <c r="E1781" s="91">
        <v>50872</v>
      </c>
      <c r="F1781" s="88">
        <v>7</v>
      </c>
      <c r="G1781" s="89" t="s">
        <v>3632</v>
      </c>
      <c r="H1781" s="89" t="s">
        <v>3633</v>
      </c>
      <c r="I1781" s="89" t="s">
        <v>998</v>
      </c>
      <c r="J1781" s="89" t="s">
        <v>2887</v>
      </c>
      <c r="K1781" s="89" t="str">
        <f>"00047254"</f>
        <v>00047254</v>
      </c>
    </row>
    <row r="1782" spans="1:11" ht="171" x14ac:dyDescent="0.25">
      <c r="A1782" s="88">
        <v>108</v>
      </c>
      <c r="B1782" s="89" t="s">
        <v>170</v>
      </c>
      <c r="C1782" s="88" t="s">
        <v>0</v>
      </c>
      <c r="D1782" s="89"/>
      <c r="E1782" s="91">
        <v>81549</v>
      </c>
      <c r="F1782" s="88">
        <v>7</v>
      </c>
      <c r="G1782" s="89" t="s">
        <v>1013</v>
      </c>
      <c r="H1782" s="89" t="s">
        <v>1016</v>
      </c>
      <c r="I1782" s="89" t="s">
        <v>998</v>
      </c>
      <c r="J1782" s="89" t="s">
        <v>1017</v>
      </c>
      <c r="K1782" s="89" t="str">
        <f>"00046750"</f>
        <v>00046750</v>
      </c>
    </row>
    <row r="1783" spans="1:11" ht="71.25" x14ac:dyDescent="0.25">
      <c r="A1783" s="88">
        <v>108</v>
      </c>
      <c r="B1783" s="89" t="s">
        <v>3626</v>
      </c>
      <c r="C1783" s="88" t="s">
        <v>0</v>
      </c>
      <c r="D1783" s="89"/>
      <c r="E1783" s="91">
        <v>23778</v>
      </c>
      <c r="F1783" s="88">
        <v>7</v>
      </c>
      <c r="G1783" s="89" t="s">
        <v>3627</v>
      </c>
      <c r="H1783" s="89" t="s">
        <v>3628</v>
      </c>
      <c r="I1783" s="89" t="s">
        <v>66</v>
      </c>
      <c r="J1783" s="89" t="s">
        <v>3629</v>
      </c>
      <c r="K1783" s="89" t="str">
        <f>"00049141"</f>
        <v>00049141</v>
      </c>
    </row>
    <row r="1784" spans="1:11" ht="71.25" x14ac:dyDescent="0.25">
      <c r="A1784" s="88">
        <v>108</v>
      </c>
      <c r="B1784" s="89" t="s">
        <v>3626</v>
      </c>
      <c r="C1784" s="88" t="s">
        <v>0</v>
      </c>
      <c r="D1784" s="89"/>
      <c r="E1784" s="91">
        <v>23778</v>
      </c>
      <c r="F1784" s="88">
        <v>7</v>
      </c>
      <c r="G1784" s="89" t="s">
        <v>3627</v>
      </c>
      <c r="H1784" s="89" t="s">
        <v>3628</v>
      </c>
      <c r="I1784" s="89" t="s">
        <v>66</v>
      </c>
      <c r="J1784" s="89" t="s">
        <v>3629</v>
      </c>
      <c r="K1784" s="89" t="str">
        <f>"00049142"</f>
        <v>00049142</v>
      </c>
    </row>
    <row r="1785" spans="1:11" ht="71.25" x14ac:dyDescent="0.25">
      <c r="A1785" s="88">
        <v>108</v>
      </c>
      <c r="B1785" s="89" t="s">
        <v>1742</v>
      </c>
      <c r="C1785" s="88" t="s">
        <v>0</v>
      </c>
      <c r="D1785" s="89"/>
      <c r="E1785" s="91">
        <v>60000</v>
      </c>
      <c r="F1785" s="88">
        <v>7</v>
      </c>
      <c r="G1785" s="89" t="s">
        <v>3574</v>
      </c>
      <c r="H1785" s="89" t="s">
        <v>3575</v>
      </c>
      <c r="I1785" s="89" t="s">
        <v>3576</v>
      </c>
      <c r="J1785" s="89" t="s">
        <v>3577</v>
      </c>
      <c r="K1785" s="89" t="str">
        <f>"00049400"</f>
        <v>00049400</v>
      </c>
    </row>
    <row r="1786" spans="1:11" ht="71.25" x14ac:dyDescent="0.25">
      <c r="A1786" s="88">
        <v>108</v>
      </c>
      <c r="B1786" s="89" t="s">
        <v>3573</v>
      </c>
      <c r="C1786" s="88" t="s">
        <v>0</v>
      </c>
      <c r="D1786" s="89"/>
      <c r="E1786" s="91">
        <v>3071</v>
      </c>
      <c r="F1786" s="88">
        <v>7</v>
      </c>
      <c r="G1786" s="89" t="s">
        <v>3574</v>
      </c>
      <c r="H1786" s="89" t="s">
        <v>3575</v>
      </c>
      <c r="I1786" s="89" t="s">
        <v>3576</v>
      </c>
      <c r="J1786" s="89" t="s">
        <v>3577</v>
      </c>
      <c r="K1786" s="89" t="str">
        <f>"00049400"</f>
        <v>00049400</v>
      </c>
    </row>
    <row r="1787" spans="1:11" ht="128.25" x14ac:dyDescent="0.25">
      <c r="A1787" s="88">
        <v>108</v>
      </c>
      <c r="B1787" s="89" t="s">
        <v>170</v>
      </c>
      <c r="C1787" s="88" t="s">
        <v>0</v>
      </c>
      <c r="D1787" s="89"/>
      <c r="E1787" s="91">
        <v>50083</v>
      </c>
      <c r="F1787" s="88">
        <v>7</v>
      </c>
      <c r="G1787" s="89" t="s">
        <v>3578</v>
      </c>
      <c r="H1787" s="89" t="s">
        <v>3579</v>
      </c>
      <c r="I1787" s="89" t="s">
        <v>66</v>
      </c>
      <c r="J1787" s="89" t="s">
        <v>125</v>
      </c>
      <c r="K1787" s="89" t="str">
        <f>"00050270"</f>
        <v>00050270</v>
      </c>
    </row>
    <row r="1788" spans="1:11" ht="128.25" x14ac:dyDescent="0.25">
      <c r="A1788" s="88">
        <v>108</v>
      </c>
      <c r="B1788" s="89" t="s">
        <v>170</v>
      </c>
      <c r="C1788" s="88" t="s">
        <v>0</v>
      </c>
      <c r="D1788" s="89"/>
      <c r="E1788" s="91">
        <v>50083</v>
      </c>
      <c r="F1788" s="88">
        <v>7</v>
      </c>
      <c r="G1788" s="89" t="s">
        <v>3578</v>
      </c>
      <c r="H1788" s="89" t="s">
        <v>3579</v>
      </c>
      <c r="I1788" s="89" t="s">
        <v>66</v>
      </c>
      <c r="J1788" s="89" t="s">
        <v>125</v>
      </c>
      <c r="K1788" s="89" t="str">
        <f>"00050276"</f>
        <v>00050276</v>
      </c>
    </row>
    <row r="1789" spans="1:11" ht="128.25" x14ac:dyDescent="0.25">
      <c r="A1789" s="88">
        <v>108</v>
      </c>
      <c r="B1789" s="89" t="s">
        <v>170</v>
      </c>
      <c r="C1789" s="88" t="s">
        <v>0</v>
      </c>
      <c r="D1789" s="89"/>
      <c r="E1789" s="91">
        <v>50083</v>
      </c>
      <c r="F1789" s="88">
        <v>7</v>
      </c>
      <c r="G1789" s="89" t="s">
        <v>3578</v>
      </c>
      <c r="H1789" s="89" t="s">
        <v>3579</v>
      </c>
      <c r="I1789" s="89" t="s">
        <v>66</v>
      </c>
      <c r="J1789" s="89" t="s">
        <v>125</v>
      </c>
      <c r="K1789" s="89" t="str">
        <f>"00050271"</f>
        <v>00050271</v>
      </c>
    </row>
    <row r="1790" spans="1:11" ht="42.75" x14ac:dyDescent="0.25">
      <c r="A1790" s="88">
        <v>108</v>
      </c>
      <c r="B1790" s="89" t="s">
        <v>3590</v>
      </c>
      <c r="C1790" s="88" t="s">
        <v>0</v>
      </c>
      <c r="D1790" s="89"/>
      <c r="E1790" s="91">
        <v>70696</v>
      </c>
      <c r="F1790" s="88">
        <v>7</v>
      </c>
      <c r="G1790" s="89" t="s">
        <v>3591</v>
      </c>
      <c r="H1790" s="89" t="s">
        <v>3592</v>
      </c>
      <c r="I1790" s="89" t="s">
        <v>1315</v>
      </c>
      <c r="J1790" s="89" t="s">
        <v>3593</v>
      </c>
      <c r="K1790" s="89" t="str">
        <f>"00050874"</f>
        <v>00050874</v>
      </c>
    </row>
    <row r="1791" spans="1:11" ht="57" x14ac:dyDescent="0.25">
      <c r="A1791" s="88">
        <v>108</v>
      </c>
      <c r="B1791" s="89" t="s">
        <v>219</v>
      </c>
      <c r="C1791" s="88" t="s">
        <v>0</v>
      </c>
      <c r="D1791" s="89"/>
      <c r="E1791" s="91">
        <v>75000</v>
      </c>
      <c r="F1791" s="88">
        <v>7</v>
      </c>
      <c r="G1791" s="89" t="s">
        <v>3571</v>
      </c>
      <c r="H1791" s="89" t="s">
        <v>1645</v>
      </c>
      <c r="I1791" s="89" t="s">
        <v>209</v>
      </c>
      <c r="J1791" s="89" t="s">
        <v>3572</v>
      </c>
      <c r="K1791" s="89" t="str">
        <f>"00049309"</f>
        <v>00049309</v>
      </c>
    </row>
    <row r="1792" spans="1:11" ht="42.75" x14ac:dyDescent="0.25">
      <c r="A1792" s="88">
        <v>108</v>
      </c>
      <c r="B1792" s="89" t="s">
        <v>3590</v>
      </c>
      <c r="C1792" s="88" t="s">
        <v>0</v>
      </c>
      <c r="D1792" s="89"/>
      <c r="E1792" s="91">
        <v>70696</v>
      </c>
      <c r="F1792" s="88">
        <v>7</v>
      </c>
      <c r="G1792" s="89" t="s">
        <v>3591</v>
      </c>
      <c r="H1792" s="89" t="s">
        <v>3592</v>
      </c>
      <c r="I1792" s="89" t="s">
        <v>1315</v>
      </c>
      <c r="J1792" s="89" t="s">
        <v>3593</v>
      </c>
      <c r="K1792" s="89" t="str">
        <f>"00050870"</f>
        <v>00050870</v>
      </c>
    </row>
    <row r="1793" spans="1:11" ht="57" x14ac:dyDescent="0.25">
      <c r="A1793" s="88">
        <v>108</v>
      </c>
      <c r="B1793" s="89" t="s">
        <v>1000</v>
      </c>
      <c r="C1793" s="88" t="s">
        <v>0</v>
      </c>
      <c r="D1793" s="89"/>
      <c r="E1793" s="91">
        <v>54284</v>
      </c>
      <c r="F1793" s="88">
        <v>7</v>
      </c>
      <c r="G1793" s="89" t="s">
        <v>1018</v>
      </c>
      <c r="H1793" s="89" t="s">
        <v>3596</v>
      </c>
      <c r="I1793" s="89" t="s">
        <v>152</v>
      </c>
      <c r="J1793" s="89" t="s">
        <v>1020</v>
      </c>
      <c r="K1793" s="89" t="str">
        <f>"00050922"</f>
        <v>00050922</v>
      </c>
    </row>
    <row r="1794" spans="1:11" ht="42.75" x14ac:dyDescent="0.25">
      <c r="A1794" s="88">
        <v>108</v>
      </c>
      <c r="B1794" s="89" t="s">
        <v>3590</v>
      </c>
      <c r="C1794" s="88" t="s">
        <v>0</v>
      </c>
      <c r="D1794" s="89"/>
      <c r="E1794" s="91">
        <v>70696</v>
      </c>
      <c r="F1794" s="88">
        <v>7</v>
      </c>
      <c r="G1794" s="89" t="s">
        <v>3591</v>
      </c>
      <c r="H1794" s="89" t="s">
        <v>3592</v>
      </c>
      <c r="I1794" s="89" t="s">
        <v>1315</v>
      </c>
      <c r="J1794" s="89" t="s">
        <v>3593</v>
      </c>
      <c r="K1794" s="89" t="str">
        <f>"00050877"</f>
        <v>00050877</v>
      </c>
    </row>
    <row r="1795" spans="1:11" ht="114" x14ac:dyDescent="0.25">
      <c r="A1795" s="88">
        <v>108</v>
      </c>
      <c r="B1795" s="89" t="s">
        <v>3594</v>
      </c>
      <c r="C1795" s="88" t="s">
        <v>0</v>
      </c>
      <c r="D1795" s="89"/>
      <c r="E1795" s="91">
        <v>50345</v>
      </c>
      <c r="F1795" s="88">
        <v>7</v>
      </c>
      <c r="G1795" s="89" t="s">
        <v>3595</v>
      </c>
      <c r="H1795" s="89" t="s">
        <v>2296</v>
      </c>
      <c r="I1795" s="89" t="s">
        <v>156</v>
      </c>
      <c r="J1795" s="89" t="s">
        <v>1023</v>
      </c>
      <c r="K1795" s="89" t="str">
        <f>"00050885"</f>
        <v>00050885</v>
      </c>
    </row>
    <row r="1796" spans="1:11" ht="42.75" x14ac:dyDescent="0.25">
      <c r="A1796" s="88">
        <v>108</v>
      </c>
      <c r="B1796" s="89" t="s">
        <v>3590</v>
      </c>
      <c r="C1796" s="88" t="s">
        <v>0</v>
      </c>
      <c r="D1796" s="89"/>
      <c r="E1796" s="91">
        <v>70696</v>
      </c>
      <c r="F1796" s="88">
        <v>7</v>
      </c>
      <c r="G1796" s="89" t="s">
        <v>3591</v>
      </c>
      <c r="H1796" s="89" t="s">
        <v>3592</v>
      </c>
      <c r="I1796" s="89" t="s">
        <v>1315</v>
      </c>
      <c r="J1796" s="89" t="s">
        <v>3593</v>
      </c>
      <c r="K1796" s="89" t="str">
        <f>"00050871"</f>
        <v>00050871</v>
      </c>
    </row>
    <row r="1797" spans="1:11" ht="99.75" x14ac:dyDescent="0.25">
      <c r="A1797" s="88">
        <v>108</v>
      </c>
      <c r="B1797" s="89" t="s">
        <v>170</v>
      </c>
      <c r="C1797" s="88" t="s">
        <v>0</v>
      </c>
      <c r="D1797" s="89"/>
      <c r="E1797" s="91">
        <v>70479</v>
      </c>
      <c r="F1797" s="88">
        <v>7</v>
      </c>
      <c r="G1797" s="89" t="s">
        <v>3597</v>
      </c>
      <c r="H1797" s="89" t="s">
        <v>3598</v>
      </c>
      <c r="I1797" s="89" t="s">
        <v>152</v>
      </c>
      <c r="J1797" s="89" t="s">
        <v>3599</v>
      </c>
      <c r="K1797" s="89" t="str">
        <f>"00050507"</f>
        <v>00050507</v>
      </c>
    </row>
    <row r="1798" spans="1:11" ht="57" x14ac:dyDescent="0.25">
      <c r="A1798" s="88">
        <v>108</v>
      </c>
      <c r="B1798" s="89" t="s">
        <v>1000</v>
      </c>
      <c r="C1798" s="88" t="s">
        <v>0</v>
      </c>
      <c r="D1798" s="89"/>
      <c r="E1798" s="91">
        <v>54274</v>
      </c>
      <c r="F1798" s="88">
        <v>7</v>
      </c>
      <c r="G1798" s="89" t="s">
        <v>1018</v>
      </c>
      <c r="H1798" s="89" t="s">
        <v>3596</v>
      </c>
      <c r="I1798" s="89" t="s">
        <v>152</v>
      </c>
      <c r="J1798" s="89" t="s">
        <v>1020</v>
      </c>
      <c r="K1798" s="89" t="str">
        <f>"00050913"</f>
        <v>00050913</v>
      </c>
    </row>
    <row r="1799" spans="1:11" ht="71.25" x14ac:dyDescent="0.25">
      <c r="A1799" s="88">
        <v>108</v>
      </c>
      <c r="B1799" s="89" t="s">
        <v>3600</v>
      </c>
      <c r="C1799" s="88" t="s">
        <v>0</v>
      </c>
      <c r="D1799" s="89"/>
      <c r="E1799" s="91">
        <v>166660</v>
      </c>
      <c r="F1799" s="88">
        <v>7</v>
      </c>
      <c r="G1799" s="89" t="s">
        <v>3601</v>
      </c>
      <c r="H1799" s="89" t="s">
        <v>3602</v>
      </c>
      <c r="I1799" s="89" t="s">
        <v>1315</v>
      </c>
      <c r="J1799" s="89" t="s">
        <v>3603</v>
      </c>
      <c r="K1799" s="89" t="str">
        <f>"00049719"</f>
        <v>00049719</v>
      </c>
    </row>
    <row r="1800" spans="1:11" ht="42.75" x14ac:dyDescent="0.25">
      <c r="A1800" s="88">
        <v>108</v>
      </c>
      <c r="B1800" s="89" t="s">
        <v>1811</v>
      </c>
      <c r="C1800" s="88" t="s">
        <v>0</v>
      </c>
      <c r="D1800" s="89"/>
      <c r="E1800" s="91">
        <v>38827</v>
      </c>
      <c r="F1800" s="88">
        <v>7</v>
      </c>
      <c r="G1800" s="89" t="s">
        <v>3588</v>
      </c>
      <c r="H1800" s="89" t="s">
        <v>3589</v>
      </c>
      <c r="I1800" s="89" t="s">
        <v>80</v>
      </c>
      <c r="J1800" s="89" t="s">
        <v>80</v>
      </c>
      <c r="K1800" s="89" t="str">
        <f>"00051741"</f>
        <v>00051741</v>
      </c>
    </row>
    <row r="1801" spans="1:11" ht="57" x14ac:dyDescent="0.25">
      <c r="A1801" s="88">
        <v>108</v>
      </c>
      <c r="B1801" s="89" t="s">
        <v>3584</v>
      </c>
      <c r="C1801" s="88" t="s">
        <v>0</v>
      </c>
      <c r="D1801" s="89"/>
      <c r="E1801" s="91">
        <v>68817</v>
      </c>
      <c r="F1801" s="88">
        <v>7</v>
      </c>
      <c r="G1801" s="89" t="s">
        <v>3585</v>
      </c>
      <c r="H1801" s="89" t="s">
        <v>3586</v>
      </c>
      <c r="I1801" s="89" t="s">
        <v>32</v>
      </c>
      <c r="J1801" s="89" t="s">
        <v>3587</v>
      </c>
      <c r="K1801" s="89" t="str">
        <f>"00051443"</f>
        <v>00051443</v>
      </c>
    </row>
    <row r="1802" spans="1:11" ht="228" x14ac:dyDescent="0.25">
      <c r="A1802" s="88">
        <v>108</v>
      </c>
      <c r="B1802" s="89" t="s">
        <v>170</v>
      </c>
      <c r="C1802" s="88" t="s">
        <v>0</v>
      </c>
      <c r="D1802" s="89"/>
      <c r="E1802" s="91">
        <v>57252</v>
      </c>
      <c r="F1802" s="88">
        <v>7</v>
      </c>
      <c r="G1802" s="89" t="s">
        <v>3606</v>
      </c>
      <c r="H1802" s="89" t="s">
        <v>3607</v>
      </c>
      <c r="I1802" s="89" t="s">
        <v>998</v>
      </c>
      <c r="J1802" s="89" t="s">
        <v>3608</v>
      </c>
      <c r="K1802" s="89" t="str">
        <f>"00050383"</f>
        <v>00050383</v>
      </c>
    </row>
    <row r="1803" spans="1:11" ht="42.75" x14ac:dyDescent="0.25">
      <c r="A1803" s="88">
        <v>108</v>
      </c>
      <c r="B1803" s="89" t="s">
        <v>3604</v>
      </c>
      <c r="C1803" s="88" t="s">
        <v>0</v>
      </c>
      <c r="D1803" s="89"/>
      <c r="E1803" s="91">
        <v>38827</v>
      </c>
      <c r="F1803" s="88">
        <v>7</v>
      </c>
      <c r="G1803" s="89" t="s">
        <v>3605</v>
      </c>
      <c r="H1803" s="89" t="s">
        <v>3589</v>
      </c>
      <c r="I1803" s="89" t="s">
        <v>80</v>
      </c>
      <c r="J1803" s="89" t="s">
        <v>80</v>
      </c>
      <c r="K1803" s="89" t="str">
        <f>"00051743"</f>
        <v>00051743</v>
      </c>
    </row>
    <row r="1804" spans="1:11" ht="42.75" x14ac:dyDescent="0.25">
      <c r="A1804" s="88">
        <v>108</v>
      </c>
      <c r="B1804" s="89" t="s">
        <v>3604</v>
      </c>
      <c r="C1804" s="88" t="s">
        <v>0</v>
      </c>
      <c r="D1804" s="89"/>
      <c r="E1804" s="91">
        <v>38827</v>
      </c>
      <c r="F1804" s="88">
        <v>7</v>
      </c>
      <c r="G1804" s="89" t="s">
        <v>3605</v>
      </c>
      <c r="H1804" s="89" t="s">
        <v>3589</v>
      </c>
      <c r="I1804" s="89" t="s">
        <v>80</v>
      </c>
      <c r="J1804" s="89" t="s">
        <v>80</v>
      </c>
      <c r="K1804" s="89" t="str">
        <f>"00051744"</f>
        <v>00051744</v>
      </c>
    </row>
    <row r="1805" spans="1:11" ht="114" x14ac:dyDescent="0.25">
      <c r="A1805" s="88">
        <v>108</v>
      </c>
      <c r="B1805" s="89" t="s">
        <v>3594</v>
      </c>
      <c r="C1805" s="88" t="s">
        <v>0</v>
      </c>
      <c r="D1805" s="89"/>
      <c r="E1805" s="91">
        <v>47674</v>
      </c>
      <c r="F1805" s="88">
        <v>7</v>
      </c>
      <c r="G1805" s="89" t="s">
        <v>3621</v>
      </c>
      <c r="H1805" s="89" t="s">
        <v>3622</v>
      </c>
      <c r="I1805" s="89" t="s">
        <v>156</v>
      </c>
      <c r="J1805" s="89" t="s">
        <v>1023</v>
      </c>
      <c r="K1805" s="89" t="str">
        <f>"00051764"</f>
        <v>00051764</v>
      </c>
    </row>
    <row r="1806" spans="1:11" ht="85.5" x14ac:dyDescent="0.25">
      <c r="A1806" s="88">
        <v>108</v>
      </c>
      <c r="B1806" s="89" t="s">
        <v>3637</v>
      </c>
      <c r="C1806" s="88" t="s">
        <v>0</v>
      </c>
      <c r="D1806" s="89"/>
      <c r="E1806" s="91">
        <v>166506</v>
      </c>
      <c r="F1806" s="88">
        <v>7</v>
      </c>
      <c r="G1806" s="89" t="s">
        <v>3638</v>
      </c>
      <c r="H1806" s="89" t="s">
        <v>3639</v>
      </c>
      <c r="I1806" s="89" t="s">
        <v>3640</v>
      </c>
      <c r="J1806" s="89" t="s">
        <v>3641</v>
      </c>
      <c r="K1806" s="89" t="str">
        <f>"00050124"</f>
        <v>00050124</v>
      </c>
    </row>
    <row r="1807" spans="1:11" ht="42.75" x14ac:dyDescent="0.25">
      <c r="A1807" s="88">
        <v>108</v>
      </c>
      <c r="B1807" s="89" t="s">
        <v>195</v>
      </c>
      <c r="C1807" s="88" t="s">
        <v>0</v>
      </c>
      <c r="D1807" s="89"/>
      <c r="E1807" s="91">
        <v>13447</v>
      </c>
      <c r="F1807" s="88">
        <v>7</v>
      </c>
      <c r="G1807" s="89" t="s">
        <v>3615</v>
      </c>
      <c r="H1807" s="89" t="s">
        <v>3616</v>
      </c>
      <c r="I1807" s="89" t="s">
        <v>66</v>
      </c>
      <c r="J1807" s="89" t="s">
        <v>125</v>
      </c>
      <c r="K1807" s="89" t="str">
        <f>"00051700"</f>
        <v>00051700</v>
      </c>
    </row>
    <row r="1808" spans="1:11" ht="99.75" x14ac:dyDescent="0.25">
      <c r="A1808" s="88">
        <v>108</v>
      </c>
      <c r="B1808" s="89" t="s">
        <v>5793</v>
      </c>
      <c r="C1808" s="88" t="s">
        <v>0</v>
      </c>
      <c r="D1808" s="89"/>
      <c r="E1808" s="91">
        <v>68153</v>
      </c>
      <c r="F1808" s="88">
        <v>7</v>
      </c>
      <c r="G1808" s="89" t="s">
        <v>3617</v>
      </c>
      <c r="H1808" s="89" t="s">
        <v>3618</v>
      </c>
      <c r="I1808" s="89" t="s">
        <v>3619</v>
      </c>
      <c r="J1808" s="89" t="s">
        <v>3620</v>
      </c>
      <c r="K1808" s="89" t="str">
        <f>"00048887"</f>
        <v>00048887</v>
      </c>
    </row>
    <row r="1809" spans="1:11" ht="57" x14ac:dyDescent="0.25">
      <c r="A1809" s="88">
        <v>108</v>
      </c>
      <c r="B1809" s="89" t="s">
        <v>1000</v>
      </c>
      <c r="C1809" s="88" t="s">
        <v>0</v>
      </c>
      <c r="D1809" s="89"/>
      <c r="E1809" s="91">
        <v>82771</v>
      </c>
      <c r="F1809" s="88">
        <v>7</v>
      </c>
      <c r="G1809" s="89" t="s">
        <v>1001</v>
      </c>
      <c r="H1809" s="89" t="s">
        <v>1002</v>
      </c>
      <c r="I1809" s="89" t="s">
        <v>152</v>
      </c>
      <c r="J1809" s="89" t="s">
        <v>3614</v>
      </c>
      <c r="K1809" s="89" t="str">
        <f>"00048149"</f>
        <v>00048149</v>
      </c>
    </row>
    <row r="1810" spans="1:11" ht="71.25" x14ac:dyDescent="0.25">
      <c r="A1810" s="88">
        <v>108</v>
      </c>
      <c r="B1810" s="89" t="s">
        <v>3573</v>
      </c>
      <c r="C1810" s="88" t="s">
        <v>0</v>
      </c>
      <c r="D1810" s="89"/>
      <c r="E1810" s="91">
        <v>65381</v>
      </c>
      <c r="F1810" s="88">
        <v>7</v>
      </c>
      <c r="G1810" s="89" t="s">
        <v>3574</v>
      </c>
      <c r="H1810" s="89" t="s">
        <v>3575</v>
      </c>
      <c r="I1810" s="89" t="s">
        <v>3576</v>
      </c>
      <c r="J1810" s="89" t="s">
        <v>3577</v>
      </c>
      <c r="K1810" s="89" t="str">
        <f>"00049399"</f>
        <v>00049399</v>
      </c>
    </row>
    <row r="1811" spans="1:11" ht="57" x14ac:dyDescent="0.25">
      <c r="A1811" s="88">
        <v>108</v>
      </c>
      <c r="B1811" s="89" t="s">
        <v>3609</v>
      </c>
      <c r="C1811" s="88" t="s">
        <v>0</v>
      </c>
      <c r="D1811" s="89"/>
      <c r="E1811" s="91">
        <v>150000</v>
      </c>
      <c r="F1811" s="88">
        <v>7</v>
      </c>
      <c r="G1811" s="89" t="s">
        <v>3610</v>
      </c>
      <c r="H1811" s="89" t="s">
        <v>3611</v>
      </c>
      <c r="I1811" s="89" t="s">
        <v>2793</v>
      </c>
      <c r="J1811" s="89" t="s">
        <v>2794</v>
      </c>
      <c r="K1811" s="89" t="str">
        <f>"00046934"</f>
        <v>00046934</v>
      </c>
    </row>
    <row r="1812" spans="1:11" ht="57" x14ac:dyDescent="0.25">
      <c r="A1812" s="88">
        <v>108</v>
      </c>
      <c r="B1812" s="89" t="s">
        <v>170</v>
      </c>
      <c r="C1812" s="88" t="s">
        <v>0</v>
      </c>
      <c r="D1812" s="89"/>
      <c r="E1812" s="91">
        <v>88542</v>
      </c>
      <c r="F1812" s="88">
        <v>7</v>
      </c>
      <c r="G1812" s="89" t="s">
        <v>3612</v>
      </c>
      <c r="H1812" s="89" t="s">
        <v>3613</v>
      </c>
      <c r="I1812" s="89" t="s">
        <v>201</v>
      </c>
      <c r="J1812" s="89" t="s">
        <v>1100</v>
      </c>
      <c r="K1812" s="89" t="str">
        <f>"00048416"</f>
        <v>00048416</v>
      </c>
    </row>
    <row r="1813" spans="1:11" ht="42.75" x14ac:dyDescent="0.25">
      <c r="A1813" s="88">
        <v>108</v>
      </c>
      <c r="B1813" s="89" t="s">
        <v>4599</v>
      </c>
      <c r="C1813" s="88" t="s">
        <v>0</v>
      </c>
      <c r="D1813" s="89"/>
      <c r="E1813" s="91">
        <v>12000</v>
      </c>
      <c r="F1813" s="88">
        <v>7</v>
      </c>
      <c r="G1813" s="89" t="s">
        <v>4599</v>
      </c>
      <c r="H1813" s="89" t="s">
        <v>4600</v>
      </c>
      <c r="I1813" s="89" t="s">
        <v>106</v>
      </c>
      <c r="J1813" s="89" t="s">
        <v>4601</v>
      </c>
      <c r="K1813" s="89" t="s">
        <v>5952</v>
      </c>
    </row>
    <row r="1814" spans="1:11" ht="42.75" x14ac:dyDescent="0.25">
      <c r="A1814" s="88">
        <v>108</v>
      </c>
      <c r="B1814" s="89" t="s">
        <v>4598</v>
      </c>
      <c r="C1814" s="88" t="s">
        <v>0</v>
      </c>
      <c r="D1814" s="89"/>
      <c r="E1814" s="91">
        <v>44283</v>
      </c>
      <c r="F1814" s="88">
        <v>7</v>
      </c>
      <c r="G1814" s="89" t="s">
        <v>4598</v>
      </c>
      <c r="H1814" s="89" t="s">
        <v>1730</v>
      </c>
      <c r="I1814" s="89" t="s">
        <v>1144</v>
      </c>
      <c r="J1814" s="89" t="s">
        <v>1145</v>
      </c>
      <c r="K1814" s="89" t="str">
        <f>"00051982"</f>
        <v>00051982</v>
      </c>
    </row>
    <row r="1815" spans="1:11" x14ac:dyDescent="0.25">
      <c r="A1815" s="88">
        <v>108</v>
      </c>
      <c r="B1815" s="89" t="s">
        <v>5794</v>
      </c>
      <c r="C1815" s="88" t="s">
        <v>0</v>
      </c>
      <c r="D1815" s="94">
        <v>60000</v>
      </c>
      <c r="E1815" s="28"/>
      <c r="F1815" s="88">
        <v>7</v>
      </c>
      <c r="G1815" s="89" t="s">
        <v>889</v>
      </c>
      <c r="H1815" s="89"/>
      <c r="I1815" s="89" t="s">
        <v>885</v>
      </c>
      <c r="J1815" s="89"/>
      <c r="K1815" s="89" t="str">
        <f>"　"</f>
        <v>　</v>
      </c>
    </row>
    <row r="1816" spans="1:11" ht="42.75" x14ac:dyDescent="0.25">
      <c r="A1816" s="88">
        <v>108</v>
      </c>
      <c r="B1816" s="89" t="s">
        <v>883</v>
      </c>
      <c r="C1816" s="88" t="s">
        <v>0</v>
      </c>
      <c r="D1816" s="89"/>
      <c r="E1816" s="91">
        <v>60000</v>
      </c>
      <c r="F1816" s="88">
        <v>7</v>
      </c>
      <c r="G1816" s="89" t="s">
        <v>3344</v>
      </c>
      <c r="H1816" s="89" t="s">
        <v>2071</v>
      </c>
      <c r="I1816" s="89" t="s">
        <v>106</v>
      </c>
      <c r="J1816" s="89" t="s">
        <v>755</v>
      </c>
      <c r="K1816" s="89" t="str">
        <f>"00049419"</f>
        <v>00049419</v>
      </c>
    </row>
    <row r="1817" spans="1:11" x14ac:dyDescent="0.25">
      <c r="A1817" s="88">
        <v>108</v>
      </c>
      <c r="B1817" s="89" t="s">
        <v>883</v>
      </c>
      <c r="C1817" s="88" t="s">
        <v>0</v>
      </c>
      <c r="D1817" s="94">
        <v>54690</v>
      </c>
      <c r="E1817" s="28"/>
      <c r="F1817" s="88">
        <v>7</v>
      </c>
      <c r="G1817" s="89" t="s">
        <v>889</v>
      </c>
      <c r="H1817" s="89"/>
      <c r="I1817" s="89" t="s">
        <v>885</v>
      </c>
      <c r="J1817" s="89"/>
      <c r="K1817" s="89" t="str">
        <f>"　"</f>
        <v>　</v>
      </c>
    </row>
    <row r="1818" spans="1:11" ht="71.25" x14ac:dyDescent="0.25">
      <c r="A1818" s="88">
        <v>108</v>
      </c>
      <c r="B1818" s="89" t="s">
        <v>883</v>
      </c>
      <c r="C1818" s="88" t="s">
        <v>0</v>
      </c>
      <c r="D1818" s="89"/>
      <c r="E1818" s="91">
        <v>54690</v>
      </c>
      <c r="F1818" s="88">
        <v>7</v>
      </c>
      <c r="G1818" s="89" t="s">
        <v>3345</v>
      </c>
      <c r="H1818" s="89" t="s">
        <v>1838</v>
      </c>
      <c r="I1818" s="89" t="s">
        <v>1839</v>
      </c>
      <c r="J1818" s="89" t="s">
        <v>1840</v>
      </c>
      <c r="K1818" s="89" t="str">
        <f>"00051815"</f>
        <v>00051815</v>
      </c>
    </row>
    <row r="1819" spans="1:11" ht="28.5" x14ac:dyDescent="0.25">
      <c r="A1819" s="88">
        <v>108</v>
      </c>
      <c r="B1819" s="89" t="s">
        <v>883</v>
      </c>
      <c r="C1819" s="88" t="s">
        <v>0</v>
      </c>
      <c r="D1819" s="94">
        <v>56454</v>
      </c>
      <c r="E1819" s="28"/>
      <c r="F1819" s="88">
        <v>7</v>
      </c>
      <c r="G1819" s="89" t="s">
        <v>892</v>
      </c>
      <c r="H1819" s="89"/>
      <c r="I1819" s="89" t="s">
        <v>885</v>
      </c>
      <c r="J1819" s="89"/>
      <c r="K1819" s="89" t="str">
        <f>"　"</f>
        <v>　</v>
      </c>
    </row>
    <row r="1820" spans="1:11" ht="85.5" x14ac:dyDescent="0.25">
      <c r="A1820" s="88">
        <v>108</v>
      </c>
      <c r="B1820" s="89" t="s">
        <v>883</v>
      </c>
      <c r="C1820" s="88" t="s">
        <v>0</v>
      </c>
      <c r="D1820" s="89"/>
      <c r="E1820" s="91">
        <v>56454</v>
      </c>
      <c r="F1820" s="88">
        <v>7</v>
      </c>
      <c r="G1820" s="89" t="s">
        <v>3424</v>
      </c>
      <c r="H1820" s="89" t="s">
        <v>1853</v>
      </c>
      <c r="I1820" s="89" t="s">
        <v>32</v>
      </c>
      <c r="J1820" s="89" t="s">
        <v>1854</v>
      </c>
      <c r="K1820" s="89" t="str">
        <f>"00048743"</f>
        <v>00048743</v>
      </c>
    </row>
    <row r="1821" spans="1:11" ht="42.75" x14ac:dyDescent="0.25">
      <c r="A1821" s="88">
        <v>108</v>
      </c>
      <c r="B1821" s="89" t="s">
        <v>4371</v>
      </c>
      <c r="C1821" s="88" t="s">
        <v>0</v>
      </c>
      <c r="D1821" s="89"/>
      <c r="E1821" s="91">
        <v>32000</v>
      </c>
      <c r="F1821" s="88">
        <v>4</v>
      </c>
      <c r="G1821" s="89" t="s">
        <v>4371</v>
      </c>
      <c r="H1821" s="89" t="s">
        <v>4372</v>
      </c>
      <c r="I1821" s="89" t="s">
        <v>66</v>
      </c>
      <c r="J1821" s="89" t="s">
        <v>125</v>
      </c>
      <c r="K1821" s="89" t="str">
        <f>"00050971"</f>
        <v>00050971</v>
      </c>
    </row>
    <row r="1822" spans="1:11" ht="42.75" x14ac:dyDescent="0.25">
      <c r="A1822" s="88">
        <v>108</v>
      </c>
      <c r="B1822" s="89" t="s">
        <v>5380</v>
      </c>
      <c r="C1822" s="88" t="s">
        <v>0</v>
      </c>
      <c r="D1822" s="89"/>
      <c r="E1822" s="91">
        <v>56000</v>
      </c>
      <c r="F1822" s="88">
        <v>4</v>
      </c>
      <c r="G1822" s="89" t="s">
        <v>5380</v>
      </c>
      <c r="H1822" s="89" t="s">
        <v>5381</v>
      </c>
      <c r="I1822" s="89" t="s">
        <v>66</v>
      </c>
      <c r="J1822" s="89" t="s">
        <v>302</v>
      </c>
      <c r="K1822" s="89" t="str">
        <f>"00053028"</f>
        <v>00053028</v>
      </c>
    </row>
    <row r="1823" spans="1:11" ht="42.75" x14ac:dyDescent="0.25">
      <c r="A1823" s="88">
        <v>108</v>
      </c>
      <c r="B1823" s="89" t="s">
        <v>5382</v>
      </c>
      <c r="C1823" s="88" t="s">
        <v>0</v>
      </c>
      <c r="D1823" s="89"/>
      <c r="E1823" s="91">
        <v>122375</v>
      </c>
      <c r="F1823" s="88">
        <v>4</v>
      </c>
      <c r="G1823" s="89" t="s">
        <v>5382</v>
      </c>
      <c r="H1823" s="89" t="s">
        <v>5383</v>
      </c>
      <c r="I1823" s="89" t="s">
        <v>2793</v>
      </c>
      <c r="J1823" s="89" t="s">
        <v>2794</v>
      </c>
      <c r="K1823" s="89" t="str">
        <f>"00046522"</f>
        <v>00046522</v>
      </c>
    </row>
    <row r="1824" spans="1:11" ht="57" x14ac:dyDescent="0.25">
      <c r="A1824" s="88">
        <v>108</v>
      </c>
      <c r="B1824" s="89" t="s">
        <v>5384</v>
      </c>
      <c r="C1824" s="88" t="s">
        <v>0</v>
      </c>
      <c r="D1824" s="89"/>
      <c r="E1824" s="91">
        <v>95000</v>
      </c>
      <c r="F1824" s="88">
        <v>4</v>
      </c>
      <c r="G1824" s="89" t="s">
        <v>5384</v>
      </c>
      <c r="H1824" s="89" t="s">
        <v>2627</v>
      </c>
      <c r="I1824" s="89" t="s">
        <v>763</v>
      </c>
      <c r="J1824" s="89" t="s">
        <v>1817</v>
      </c>
      <c r="K1824" s="89" t="str">
        <f>"00053040"</f>
        <v>00053040</v>
      </c>
    </row>
    <row r="1825" spans="1:11" ht="71.25" x14ac:dyDescent="0.25">
      <c r="A1825" s="88">
        <v>108</v>
      </c>
      <c r="B1825" s="89" t="s">
        <v>5385</v>
      </c>
      <c r="C1825" s="88" t="s">
        <v>0</v>
      </c>
      <c r="D1825" s="89"/>
      <c r="E1825" s="91">
        <v>100189</v>
      </c>
      <c r="F1825" s="88">
        <v>4</v>
      </c>
      <c r="G1825" s="89" t="s">
        <v>5385</v>
      </c>
      <c r="H1825" s="89" t="s">
        <v>5386</v>
      </c>
      <c r="I1825" s="89" t="s">
        <v>32</v>
      </c>
      <c r="J1825" s="89" t="s">
        <v>423</v>
      </c>
      <c r="K1825" s="89" t="str">
        <f>"00053112"</f>
        <v>00053112</v>
      </c>
    </row>
    <row r="1826" spans="1:11" ht="42.75" x14ac:dyDescent="0.25">
      <c r="A1826" s="88">
        <v>108</v>
      </c>
      <c r="B1826" s="89" t="s">
        <v>4507</v>
      </c>
      <c r="C1826" s="88" t="s">
        <v>0</v>
      </c>
      <c r="D1826" s="89"/>
      <c r="E1826" s="91">
        <v>4787</v>
      </c>
      <c r="F1826" s="88">
        <v>4</v>
      </c>
      <c r="G1826" s="89" t="s">
        <v>4507</v>
      </c>
      <c r="H1826" s="89" t="s">
        <v>4508</v>
      </c>
      <c r="I1826" s="89" t="s">
        <v>66</v>
      </c>
      <c r="J1826" s="89" t="s">
        <v>148</v>
      </c>
      <c r="K1826" s="89" t="str">
        <f>"00051783"</f>
        <v>00051783</v>
      </c>
    </row>
    <row r="1827" spans="1:11" ht="42.75" x14ac:dyDescent="0.25">
      <c r="A1827" s="88">
        <v>108</v>
      </c>
      <c r="B1827" s="89" t="s">
        <v>4515</v>
      </c>
      <c r="C1827" s="88" t="s">
        <v>0</v>
      </c>
      <c r="D1827" s="89"/>
      <c r="E1827" s="91">
        <v>38846</v>
      </c>
      <c r="F1827" s="88">
        <v>4</v>
      </c>
      <c r="G1827" s="89" t="s">
        <v>4515</v>
      </c>
      <c r="H1827" s="89" t="s">
        <v>1930</v>
      </c>
      <c r="I1827" s="89" t="s">
        <v>106</v>
      </c>
      <c r="J1827" s="89" t="s">
        <v>755</v>
      </c>
      <c r="K1827" s="89" t="str">
        <f>"00050263"</f>
        <v>00050263</v>
      </c>
    </row>
    <row r="1828" spans="1:11" ht="42.75" x14ac:dyDescent="0.25">
      <c r="A1828" s="88">
        <v>108</v>
      </c>
      <c r="B1828" s="89" t="s">
        <v>4427</v>
      </c>
      <c r="C1828" s="88" t="s">
        <v>0</v>
      </c>
      <c r="D1828" s="89"/>
      <c r="E1828" s="91">
        <v>61502</v>
      </c>
      <c r="F1828" s="88">
        <v>4</v>
      </c>
      <c r="G1828" s="89" t="s">
        <v>4427</v>
      </c>
      <c r="H1828" s="89" t="s">
        <v>1924</v>
      </c>
      <c r="I1828" s="89" t="s">
        <v>106</v>
      </c>
      <c r="J1828" s="89" t="s">
        <v>755</v>
      </c>
      <c r="K1828" s="89" t="str">
        <f>"00049116"</f>
        <v>00049116</v>
      </c>
    </row>
    <row r="1829" spans="1:11" ht="42.75" x14ac:dyDescent="0.25">
      <c r="A1829" s="88">
        <v>108</v>
      </c>
      <c r="B1829" s="89" t="s">
        <v>4532</v>
      </c>
      <c r="C1829" s="88" t="s">
        <v>0</v>
      </c>
      <c r="D1829" s="89"/>
      <c r="E1829" s="91">
        <v>32104</v>
      </c>
      <c r="F1829" s="88">
        <v>4</v>
      </c>
      <c r="G1829" s="89" t="s">
        <v>4532</v>
      </c>
      <c r="H1829" s="89" t="s">
        <v>1949</v>
      </c>
      <c r="I1829" s="89" t="s">
        <v>787</v>
      </c>
      <c r="J1829" s="89" t="s">
        <v>1950</v>
      </c>
      <c r="K1829" s="89" t="str">
        <f>"00051327"</f>
        <v>00051327</v>
      </c>
    </row>
    <row r="1830" spans="1:11" ht="42.75" x14ac:dyDescent="0.25">
      <c r="A1830" s="88">
        <v>108</v>
      </c>
      <c r="B1830" s="89" t="s">
        <v>4409</v>
      </c>
      <c r="C1830" s="88" t="s">
        <v>0</v>
      </c>
      <c r="D1830" s="89"/>
      <c r="E1830" s="91">
        <v>30000</v>
      </c>
      <c r="F1830" s="88">
        <v>4</v>
      </c>
      <c r="G1830" s="89" t="s">
        <v>4409</v>
      </c>
      <c r="H1830" s="89" t="s">
        <v>4115</v>
      </c>
      <c r="I1830" s="89" t="s">
        <v>94</v>
      </c>
      <c r="J1830" s="89" t="s">
        <v>355</v>
      </c>
      <c r="K1830" s="89" t="str">
        <f>"00051919"</f>
        <v>00051919</v>
      </c>
    </row>
    <row r="1831" spans="1:11" ht="42.75" x14ac:dyDescent="0.25">
      <c r="A1831" s="88">
        <v>108</v>
      </c>
      <c r="B1831" s="89" t="s">
        <v>4519</v>
      </c>
      <c r="C1831" s="88" t="s">
        <v>0</v>
      </c>
      <c r="D1831" s="89"/>
      <c r="E1831" s="91">
        <v>8817</v>
      </c>
      <c r="F1831" s="88">
        <v>4</v>
      </c>
      <c r="G1831" s="89" t="s">
        <v>4519</v>
      </c>
      <c r="H1831" s="89" t="s">
        <v>1927</v>
      </c>
      <c r="I1831" s="89" t="s">
        <v>66</v>
      </c>
      <c r="J1831" s="89" t="s">
        <v>125</v>
      </c>
      <c r="K1831" s="89" t="str">
        <f>"00049676"</f>
        <v>00049676</v>
      </c>
    </row>
    <row r="1832" spans="1:11" ht="57" x14ac:dyDescent="0.25">
      <c r="A1832" s="88">
        <v>108</v>
      </c>
      <c r="B1832" s="89" t="s">
        <v>4373</v>
      </c>
      <c r="C1832" s="88" t="s">
        <v>0</v>
      </c>
      <c r="D1832" s="89"/>
      <c r="E1832" s="91">
        <v>20177</v>
      </c>
      <c r="F1832" s="88">
        <v>4</v>
      </c>
      <c r="G1832" s="89" t="s">
        <v>4373</v>
      </c>
      <c r="H1832" s="89" t="s">
        <v>1816</v>
      </c>
      <c r="I1832" s="89" t="s">
        <v>763</v>
      </c>
      <c r="J1832" s="89" t="s">
        <v>1817</v>
      </c>
      <c r="K1832" s="89" t="str">
        <f>"00052361"</f>
        <v>00052361</v>
      </c>
    </row>
    <row r="1833" spans="1:11" ht="42.75" x14ac:dyDescent="0.25">
      <c r="A1833" s="88">
        <v>108</v>
      </c>
      <c r="B1833" s="89" t="s">
        <v>4402</v>
      </c>
      <c r="C1833" s="88" t="s">
        <v>0</v>
      </c>
      <c r="D1833" s="89"/>
      <c r="E1833" s="91">
        <v>17527</v>
      </c>
      <c r="F1833" s="88">
        <v>4</v>
      </c>
      <c r="G1833" s="89" t="s">
        <v>4402</v>
      </c>
      <c r="H1833" s="89" t="s">
        <v>4231</v>
      </c>
      <c r="I1833" s="89" t="s">
        <v>66</v>
      </c>
      <c r="J1833" s="89" t="s">
        <v>4403</v>
      </c>
      <c r="K1833" s="89" t="str">
        <f>"00052537"</f>
        <v>00052537</v>
      </c>
    </row>
    <row r="1834" spans="1:11" ht="42.75" x14ac:dyDescent="0.25">
      <c r="A1834" s="88">
        <v>108</v>
      </c>
      <c r="B1834" s="89" t="s">
        <v>4409</v>
      </c>
      <c r="C1834" s="88" t="s">
        <v>0</v>
      </c>
      <c r="D1834" s="89"/>
      <c r="E1834" s="91">
        <v>40000</v>
      </c>
      <c r="F1834" s="88">
        <v>4</v>
      </c>
      <c r="G1834" s="89" t="s">
        <v>4409</v>
      </c>
      <c r="H1834" s="89" t="s">
        <v>3316</v>
      </c>
      <c r="I1834" s="89" t="s">
        <v>94</v>
      </c>
      <c r="J1834" s="89" t="s">
        <v>355</v>
      </c>
      <c r="K1834" s="89" t="str">
        <f>"00051898"</f>
        <v>00051898</v>
      </c>
    </row>
    <row r="1835" spans="1:11" ht="42.75" x14ac:dyDescent="0.25">
      <c r="A1835" s="88">
        <v>108</v>
      </c>
      <c r="B1835" s="89" t="s">
        <v>4384</v>
      </c>
      <c r="C1835" s="88" t="s">
        <v>0</v>
      </c>
      <c r="D1835" s="89"/>
      <c r="E1835" s="91">
        <v>100943</v>
      </c>
      <c r="F1835" s="88">
        <v>4</v>
      </c>
      <c r="G1835" s="89" t="s">
        <v>4384</v>
      </c>
      <c r="H1835" s="89" t="s">
        <v>4385</v>
      </c>
      <c r="I1835" s="89" t="s">
        <v>161</v>
      </c>
      <c r="J1835" s="89" t="s">
        <v>4386</v>
      </c>
      <c r="K1835" s="89" t="str">
        <f>"00052459"</f>
        <v>00052459</v>
      </c>
    </row>
    <row r="1836" spans="1:11" ht="42.75" x14ac:dyDescent="0.25">
      <c r="A1836" s="88">
        <v>108</v>
      </c>
      <c r="B1836" s="89" t="s">
        <v>4504</v>
      </c>
      <c r="C1836" s="88" t="s">
        <v>0</v>
      </c>
      <c r="D1836" s="89"/>
      <c r="E1836" s="91">
        <v>12736</v>
      </c>
      <c r="F1836" s="88">
        <v>4</v>
      </c>
      <c r="G1836" s="89" t="s">
        <v>4504</v>
      </c>
      <c r="H1836" s="89" t="s">
        <v>4505</v>
      </c>
      <c r="I1836" s="89" t="s">
        <v>849</v>
      </c>
      <c r="J1836" s="89" t="s">
        <v>2653</v>
      </c>
      <c r="K1836" s="89" t="str">
        <f>"00050500"</f>
        <v>00050500</v>
      </c>
    </row>
    <row r="1837" spans="1:11" ht="42.75" x14ac:dyDescent="0.25">
      <c r="A1837" s="88">
        <v>108</v>
      </c>
      <c r="B1837" s="89" t="s">
        <v>4506</v>
      </c>
      <c r="C1837" s="88" t="s">
        <v>0</v>
      </c>
      <c r="D1837" s="89"/>
      <c r="E1837" s="91">
        <v>75890</v>
      </c>
      <c r="F1837" s="88">
        <v>4</v>
      </c>
      <c r="G1837" s="89" t="s">
        <v>4506</v>
      </c>
      <c r="H1837" s="89" t="s">
        <v>2246</v>
      </c>
      <c r="I1837" s="89" t="s">
        <v>66</v>
      </c>
      <c r="J1837" s="89" t="s">
        <v>67</v>
      </c>
      <c r="K1837" s="89" t="str">
        <f>"00050060"</f>
        <v>00050060</v>
      </c>
    </row>
    <row r="1838" spans="1:11" ht="71.25" x14ac:dyDescent="0.25">
      <c r="A1838" s="88">
        <v>108</v>
      </c>
      <c r="B1838" s="89" t="s">
        <v>4495</v>
      </c>
      <c r="C1838" s="88" t="s">
        <v>0</v>
      </c>
      <c r="D1838" s="89"/>
      <c r="E1838" s="91">
        <v>37828</v>
      </c>
      <c r="F1838" s="88">
        <v>4</v>
      </c>
      <c r="G1838" s="89" t="s">
        <v>4496</v>
      </c>
      <c r="H1838" s="89" t="s">
        <v>1893</v>
      </c>
      <c r="I1838" s="89" t="s">
        <v>1894</v>
      </c>
      <c r="J1838" s="89" t="s">
        <v>1895</v>
      </c>
      <c r="K1838" s="89" t="str">
        <f>"00050186"</f>
        <v>00050186</v>
      </c>
    </row>
    <row r="1839" spans="1:11" ht="42.75" x14ac:dyDescent="0.25">
      <c r="A1839" s="88">
        <v>108</v>
      </c>
      <c r="B1839" s="89" t="s">
        <v>4420</v>
      </c>
      <c r="C1839" s="88" t="s">
        <v>0</v>
      </c>
      <c r="D1839" s="89"/>
      <c r="E1839" s="91">
        <v>25083</v>
      </c>
      <c r="F1839" s="88">
        <v>4</v>
      </c>
      <c r="G1839" s="89" t="s">
        <v>4420</v>
      </c>
      <c r="H1839" s="89" t="s">
        <v>1901</v>
      </c>
      <c r="I1839" s="89" t="s">
        <v>849</v>
      </c>
      <c r="J1839" s="89" t="s">
        <v>1532</v>
      </c>
      <c r="K1839" s="89" t="str">
        <f>"00049685"</f>
        <v>00049685</v>
      </c>
    </row>
    <row r="1840" spans="1:11" ht="42.75" x14ac:dyDescent="0.25">
      <c r="A1840" s="88">
        <v>108</v>
      </c>
      <c r="B1840" s="89" t="s">
        <v>4427</v>
      </c>
      <c r="C1840" s="88" t="s">
        <v>0</v>
      </c>
      <c r="D1840" s="89"/>
      <c r="E1840" s="91">
        <v>34275</v>
      </c>
      <c r="F1840" s="88">
        <v>4</v>
      </c>
      <c r="G1840" s="89" t="s">
        <v>4427</v>
      </c>
      <c r="H1840" s="89" t="s">
        <v>3231</v>
      </c>
      <c r="I1840" s="89" t="s">
        <v>106</v>
      </c>
      <c r="J1840" s="89" t="s">
        <v>755</v>
      </c>
      <c r="K1840" s="89" t="str">
        <f>"00050203"</f>
        <v>00050203</v>
      </c>
    </row>
    <row r="1841" spans="1:11" ht="42.75" x14ac:dyDescent="0.25">
      <c r="A1841" s="88">
        <v>108</v>
      </c>
      <c r="B1841" s="89" t="s">
        <v>4464</v>
      </c>
      <c r="C1841" s="88" t="s">
        <v>0</v>
      </c>
      <c r="D1841" s="89"/>
      <c r="E1841" s="28">
        <v>694</v>
      </c>
      <c r="F1841" s="88">
        <v>4</v>
      </c>
      <c r="G1841" s="89" t="s">
        <v>4464</v>
      </c>
      <c r="H1841" s="89" t="s">
        <v>4465</v>
      </c>
      <c r="I1841" s="89" t="s">
        <v>173</v>
      </c>
      <c r="J1841" s="89" t="s">
        <v>1724</v>
      </c>
      <c r="K1841" s="89" t="str">
        <f>"00049023"</f>
        <v>00049023</v>
      </c>
    </row>
    <row r="1842" spans="1:11" ht="42.75" x14ac:dyDescent="0.25">
      <c r="A1842" s="88">
        <v>108</v>
      </c>
      <c r="B1842" s="89" t="s">
        <v>4572</v>
      </c>
      <c r="C1842" s="88" t="s">
        <v>0</v>
      </c>
      <c r="D1842" s="89"/>
      <c r="E1842" s="91">
        <v>67018</v>
      </c>
      <c r="F1842" s="88">
        <v>4</v>
      </c>
      <c r="G1842" s="89" t="s">
        <v>4572</v>
      </c>
      <c r="H1842" s="89" t="s">
        <v>4573</v>
      </c>
      <c r="I1842" s="89" t="s">
        <v>66</v>
      </c>
      <c r="J1842" s="89" t="s">
        <v>125</v>
      </c>
      <c r="K1842" s="89" t="str">
        <f>"00050649"</f>
        <v>00050649</v>
      </c>
    </row>
    <row r="1843" spans="1:11" ht="42.75" x14ac:dyDescent="0.25">
      <c r="A1843" s="88">
        <v>108</v>
      </c>
      <c r="B1843" s="89" t="s">
        <v>4409</v>
      </c>
      <c r="C1843" s="88" t="s">
        <v>0</v>
      </c>
      <c r="D1843" s="89"/>
      <c r="E1843" s="91">
        <v>30000</v>
      </c>
      <c r="F1843" s="88">
        <v>4</v>
      </c>
      <c r="G1843" s="89" t="s">
        <v>4409</v>
      </c>
      <c r="H1843" s="89" t="s">
        <v>1827</v>
      </c>
      <c r="I1843" s="89" t="s">
        <v>94</v>
      </c>
      <c r="J1843" s="89" t="s">
        <v>355</v>
      </c>
      <c r="K1843" s="89" t="str">
        <f>"00051750"</f>
        <v>00051750</v>
      </c>
    </row>
    <row r="1844" spans="1:11" ht="42.75" x14ac:dyDescent="0.25">
      <c r="A1844" s="88">
        <v>108</v>
      </c>
      <c r="B1844" s="89" t="s">
        <v>4583</v>
      </c>
      <c r="C1844" s="88" t="s">
        <v>0</v>
      </c>
      <c r="D1844" s="89"/>
      <c r="E1844" s="91">
        <v>4710</v>
      </c>
      <c r="F1844" s="88">
        <v>4</v>
      </c>
      <c r="G1844" s="89" t="s">
        <v>4583</v>
      </c>
      <c r="H1844" s="89" t="s">
        <v>1889</v>
      </c>
      <c r="I1844" s="89" t="s">
        <v>209</v>
      </c>
      <c r="J1844" s="89" t="s">
        <v>1890</v>
      </c>
      <c r="K1844" s="89" t="str">
        <f>"00050638"</f>
        <v>00050638</v>
      </c>
    </row>
    <row r="1845" spans="1:11" ht="42.75" x14ac:dyDescent="0.25">
      <c r="A1845" s="88">
        <v>108</v>
      </c>
      <c r="B1845" s="89" t="s">
        <v>4484</v>
      </c>
      <c r="C1845" s="88" t="s">
        <v>0</v>
      </c>
      <c r="D1845" s="89"/>
      <c r="E1845" s="91">
        <v>52169</v>
      </c>
      <c r="F1845" s="88">
        <v>4</v>
      </c>
      <c r="G1845" s="89" t="s">
        <v>4484</v>
      </c>
      <c r="H1845" s="89" t="s">
        <v>4485</v>
      </c>
      <c r="I1845" s="89" t="s">
        <v>106</v>
      </c>
      <c r="J1845" s="89" t="s">
        <v>755</v>
      </c>
      <c r="K1845" s="89" t="str">
        <f>"00050196"</f>
        <v>00050196</v>
      </c>
    </row>
    <row r="1846" spans="1:11" ht="42.75" x14ac:dyDescent="0.25">
      <c r="A1846" s="88">
        <v>108</v>
      </c>
      <c r="B1846" s="89" t="s">
        <v>4546</v>
      </c>
      <c r="C1846" s="88" t="s">
        <v>0</v>
      </c>
      <c r="D1846" s="89"/>
      <c r="E1846" s="91">
        <v>60132</v>
      </c>
      <c r="F1846" s="88">
        <v>4</v>
      </c>
      <c r="G1846" s="89" t="s">
        <v>4546</v>
      </c>
      <c r="H1846" s="89" t="s">
        <v>1805</v>
      </c>
      <c r="I1846" s="89" t="s">
        <v>66</v>
      </c>
      <c r="J1846" s="89" t="s">
        <v>332</v>
      </c>
      <c r="K1846" s="89" t="str">
        <f>"00051786"</f>
        <v>00051786</v>
      </c>
    </row>
    <row r="1847" spans="1:11" ht="42.75" x14ac:dyDescent="0.25">
      <c r="A1847" s="88">
        <v>108</v>
      </c>
      <c r="B1847" s="89" t="s">
        <v>4409</v>
      </c>
      <c r="C1847" s="88" t="s">
        <v>0</v>
      </c>
      <c r="D1847" s="89"/>
      <c r="E1847" s="91">
        <v>16000</v>
      </c>
      <c r="F1847" s="88">
        <v>4</v>
      </c>
      <c r="G1847" s="89" t="s">
        <v>4409</v>
      </c>
      <c r="H1847" s="89" t="s">
        <v>1827</v>
      </c>
      <c r="I1847" s="89" t="s">
        <v>94</v>
      </c>
      <c r="J1847" s="89" t="s">
        <v>355</v>
      </c>
      <c r="K1847" s="89" t="str">
        <f>"00052051"</f>
        <v>00052051</v>
      </c>
    </row>
    <row r="1848" spans="1:11" ht="42.75" x14ac:dyDescent="0.25">
      <c r="A1848" s="88">
        <v>108</v>
      </c>
      <c r="B1848" s="89" t="s">
        <v>4520</v>
      </c>
      <c r="C1848" s="88" t="s">
        <v>0</v>
      </c>
      <c r="D1848" s="89"/>
      <c r="E1848" s="91">
        <v>45168</v>
      </c>
      <c r="F1848" s="88">
        <v>4</v>
      </c>
      <c r="G1848" s="89" t="s">
        <v>4520</v>
      </c>
      <c r="H1848" s="89" t="s">
        <v>4521</v>
      </c>
      <c r="I1848" s="89" t="s">
        <v>66</v>
      </c>
      <c r="J1848" s="89" t="s">
        <v>717</v>
      </c>
      <c r="K1848" s="89" t="str">
        <f>"00051599"</f>
        <v>00051599</v>
      </c>
    </row>
    <row r="1849" spans="1:11" ht="42.75" x14ac:dyDescent="0.25">
      <c r="A1849" s="88">
        <v>108</v>
      </c>
      <c r="B1849" s="89" t="s">
        <v>4409</v>
      </c>
      <c r="C1849" s="88" t="s">
        <v>0</v>
      </c>
      <c r="D1849" s="89"/>
      <c r="E1849" s="91">
        <v>35000</v>
      </c>
      <c r="F1849" s="88">
        <v>4</v>
      </c>
      <c r="G1849" s="89" t="s">
        <v>4409</v>
      </c>
      <c r="H1849" s="89" t="s">
        <v>1960</v>
      </c>
      <c r="I1849" s="89" t="s">
        <v>94</v>
      </c>
      <c r="J1849" s="89" t="s">
        <v>355</v>
      </c>
      <c r="K1849" s="89" t="str">
        <f>"00051897"</f>
        <v>00051897</v>
      </c>
    </row>
    <row r="1850" spans="1:11" ht="71.25" x14ac:dyDescent="0.25">
      <c r="A1850" s="88">
        <v>108</v>
      </c>
      <c r="B1850" s="89" t="s">
        <v>4347</v>
      </c>
      <c r="C1850" s="88" t="s">
        <v>0</v>
      </c>
      <c r="D1850" s="89"/>
      <c r="E1850" s="91">
        <v>78872</v>
      </c>
      <c r="F1850" s="88">
        <v>4</v>
      </c>
      <c r="G1850" s="89" t="s">
        <v>4347</v>
      </c>
      <c r="H1850" s="89" t="s">
        <v>60</v>
      </c>
      <c r="I1850" s="89" t="s">
        <v>32</v>
      </c>
      <c r="J1850" s="89" t="s">
        <v>294</v>
      </c>
      <c r="K1850" s="89" t="str">
        <f>"00048327"</f>
        <v>00048327</v>
      </c>
    </row>
    <row r="1851" spans="1:11" ht="42.75" x14ac:dyDescent="0.25">
      <c r="A1851" s="88">
        <v>108</v>
      </c>
      <c r="B1851" s="89" t="s">
        <v>4309</v>
      </c>
      <c r="C1851" s="88" t="s">
        <v>0</v>
      </c>
      <c r="D1851" s="89"/>
      <c r="E1851" s="91">
        <v>24843</v>
      </c>
      <c r="F1851" s="88">
        <v>4</v>
      </c>
      <c r="G1851" s="89" t="s">
        <v>4309</v>
      </c>
      <c r="H1851" s="89" t="s">
        <v>4310</v>
      </c>
      <c r="I1851" s="89" t="s">
        <v>32</v>
      </c>
      <c r="J1851" s="89" t="s">
        <v>4311</v>
      </c>
      <c r="K1851" s="89" t="str">
        <f>"00048822"</f>
        <v>00048822</v>
      </c>
    </row>
    <row r="1852" spans="1:11" ht="42.75" x14ac:dyDescent="0.25">
      <c r="A1852" s="88">
        <v>108</v>
      </c>
      <c r="B1852" s="89" t="s">
        <v>4319</v>
      </c>
      <c r="C1852" s="88" t="s">
        <v>0</v>
      </c>
      <c r="D1852" s="89"/>
      <c r="E1852" s="91">
        <v>25000</v>
      </c>
      <c r="F1852" s="88">
        <v>4</v>
      </c>
      <c r="G1852" s="89" t="s">
        <v>4319</v>
      </c>
      <c r="H1852" s="89" t="s">
        <v>124</v>
      </c>
      <c r="I1852" s="89" t="s">
        <v>32</v>
      </c>
      <c r="J1852" s="89" t="s">
        <v>2313</v>
      </c>
      <c r="K1852" s="89" t="str">
        <f>"00046907"</f>
        <v>00046907</v>
      </c>
    </row>
    <row r="1853" spans="1:11" ht="42.75" x14ac:dyDescent="0.25">
      <c r="A1853" s="88">
        <v>108</v>
      </c>
      <c r="B1853" s="89" t="s">
        <v>4322</v>
      </c>
      <c r="C1853" s="88" t="s">
        <v>0</v>
      </c>
      <c r="D1853" s="89"/>
      <c r="E1853" s="91">
        <v>65554</v>
      </c>
      <c r="F1853" s="88">
        <v>4</v>
      </c>
      <c r="G1853" s="89" t="s">
        <v>4322</v>
      </c>
      <c r="H1853" s="89" t="s">
        <v>4323</v>
      </c>
      <c r="I1853" s="89" t="s">
        <v>66</v>
      </c>
      <c r="J1853" s="89" t="s">
        <v>125</v>
      </c>
      <c r="K1853" s="89" t="str">
        <f>"00046927"</f>
        <v>00046927</v>
      </c>
    </row>
    <row r="1854" spans="1:11" ht="42.75" x14ac:dyDescent="0.25">
      <c r="A1854" s="88">
        <v>108</v>
      </c>
      <c r="B1854" s="89" t="s">
        <v>4324</v>
      </c>
      <c r="C1854" s="88" t="s">
        <v>0</v>
      </c>
      <c r="D1854" s="89"/>
      <c r="E1854" s="91">
        <v>95116</v>
      </c>
      <c r="F1854" s="88">
        <v>4</v>
      </c>
      <c r="G1854" s="89" t="s">
        <v>4324</v>
      </c>
      <c r="H1854" s="89" t="s">
        <v>4325</v>
      </c>
      <c r="I1854" s="89" t="s">
        <v>1878</v>
      </c>
      <c r="J1854" s="89" t="s">
        <v>4326</v>
      </c>
      <c r="K1854" s="89" t="str">
        <f>"00047346"</f>
        <v>00047346</v>
      </c>
    </row>
    <row r="1855" spans="1:11" ht="42.75" x14ac:dyDescent="0.25">
      <c r="A1855" s="88">
        <v>108</v>
      </c>
      <c r="B1855" s="89" t="s">
        <v>4293</v>
      </c>
      <c r="C1855" s="88" t="s">
        <v>0</v>
      </c>
      <c r="D1855" s="89"/>
      <c r="E1855" s="91">
        <v>83144</v>
      </c>
      <c r="F1855" s="88">
        <v>4</v>
      </c>
      <c r="G1855" s="89" t="s">
        <v>4293</v>
      </c>
      <c r="H1855" s="89" t="s">
        <v>535</v>
      </c>
      <c r="I1855" s="89" t="s">
        <v>66</v>
      </c>
      <c r="J1855" s="89" t="s">
        <v>1237</v>
      </c>
      <c r="K1855" s="89" t="str">
        <f>"00048566"</f>
        <v>00048566</v>
      </c>
    </row>
    <row r="1856" spans="1:11" ht="57" x14ac:dyDescent="0.25">
      <c r="A1856" s="88">
        <v>108</v>
      </c>
      <c r="B1856" s="89" t="s">
        <v>4320</v>
      </c>
      <c r="C1856" s="88" t="s">
        <v>0</v>
      </c>
      <c r="D1856" s="89"/>
      <c r="E1856" s="91">
        <v>156600</v>
      </c>
      <c r="F1856" s="88">
        <v>4</v>
      </c>
      <c r="G1856" s="89" t="s">
        <v>4320</v>
      </c>
      <c r="H1856" s="89" t="s">
        <v>4321</v>
      </c>
      <c r="I1856" s="89" t="s">
        <v>1582</v>
      </c>
      <c r="J1856" s="89" t="s">
        <v>1583</v>
      </c>
      <c r="K1856" s="89" t="str">
        <f>"00047709"</f>
        <v>00047709</v>
      </c>
    </row>
    <row r="1857" spans="1:11" ht="42.75" x14ac:dyDescent="0.25">
      <c r="A1857" s="88">
        <v>108</v>
      </c>
      <c r="B1857" s="89" t="s">
        <v>4476</v>
      </c>
      <c r="C1857" s="88" t="s">
        <v>0</v>
      </c>
      <c r="D1857" s="89"/>
      <c r="E1857" s="91">
        <v>8994</v>
      </c>
      <c r="F1857" s="88">
        <v>4</v>
      </c>
      <c r="G1857" s="89" t="s">
        <v>4476</v>
      </c>
      <c r="H1857" s="89" t="s">
        <v>4477</v>
      </c>
      <c r="I1857" s="89" t="s">
        <v>209</v>
      </c>
      <c r="J1857" s="89" t="s">
        <v>1890</v>
      </c>
      <c r="K1857" s="89" t="str">
        <f>"00048924"</f>
        <v>00048924</v>
      </c>
    </row>
    <row r="1858" spans="1:11" ht="42.75" x14ac:dyDescent="0.25">
      <c r="A1858" s="88">
        <v>108</v>
      </c>
      <c r="B1858" s="89" t="s">
        <v>4296</v>
      </c>
      <c r="C1858" s="88" t="s">
        <v>0</v>
      </c>
      <c r="D1858" s="89"/>
      <c r="E1858" s="91">
        <v>59412</v>
      </c>
      <c r="F1858" s="88">
        <v>4</v>
      </c>
      <c r="G1858" s="89" t="s">
        <v>4296</v>
      </c>
      <c r="H1858" s="89" t="s">
        <v>4297</v>
      </c>
      <c r="I1858" s="89" t="s">
        <v>849</v>
      </c>
      <c r="J1858" s="89" t="s">
        <v>2653</v>
      </c>
      <c r="K1858" s="89" t="str">
        <f>"00048148"</f>
        <v>00048148</v>
      </c>
    </row>
    <row r="1859" spans="1:11" ht="57" x14ac:dyDescent="0.25">
      <c r="A1859" s="88">
        <v>108</v>
      </c>
      <c r="B1859" s="89" t="s">
        <v>4475</v>
      </c>
      <c r="C1859" s="88" t="s">
        <v>0</v>
      </c>
      <c r="D1859" s="89"/>
      <c r="E1859" s="91">
        <v>50000</v>
      </c>
      <c r="F1859" s="88">
        <v>4</v>
      </c>
      <c r="G1859" s="89" t="s">
        <v>4475</v>
      </c>
      <c r="H1859" s="89" t="s">
        <v>1965</v>
      </c>
      <c r="I1859" s="89" t="s">
        <v>32</v>
      </c>
      <c r="J1859" s="89" t="s">
        <v>33</v>
      </c>
      <c r="K1859" s="89" t="str">
        <f>"00049027"</f>
        <v>00049027</v>
      </c>
    </row>
    <row r="1860" spans="1:11" ht="42.75" x14ac:dyDescent="0.25">
      <c r="A1860" s="88">
        <v>108</v>
      </c>
      <c r="B1860" s="89" t="s">
        <v>4473</v>
      </c>
      <c r="C1860" s="88" t="s">
        <v>0</v>
      </c>
      <c r="D1860" s="89"/>
      <c r="E1860" s="91">
        <v>84101</v>
      </c>
      <c r="F1860" s="88">
        <v>4</v>
      </c>
      <c r="G1860" s="89" t="s">
        <v>4473</v>
      </c>
      <c r="H1860" s="89" t="s">
        <v>4474</v>
      </c>
      <c r="I1860" s="89" t="s">
        <v>135</v>
      </c>
      <c r="J1860" s="89" t="s">
        <v>136</v>
      </c>
      <c r="K1860" s="89" t="str">
        <f>"00046707"</f>
        <v>00046707</v>
      </c>
    </row>
    <row r="1861" spans="1:11" ht="42.75" x14ac:dyDescent="0.25">
      <c r="A1861" s="88">
        <v>108</v>
      </c>
      <c r="B1861" s="89" t="s">
        <v>4594</v>
      </c>
      <c r="C1861" s="88" t="s">
        <v>0</v>
      </c>
      <c r="D1861" s="89"/>
      <c r="E1861" s="91">
        <v>36083</v>
      </c>
      <c r="F1861" s="88">
        <v>7</v>
      </c>
      <c r="G1861" s="89" t="s">
        <v>4594</v>
      </c>
      <c r="H1861" s="89" t="s">
        <v>4595</v>
      </c>
      <c r="I1861" s="89" t="s">
        <v>4596</v>
      </c>
      <c r="J1861" s="89" t="s">
        <v>4597</v>
      </c>
      <c r="K1861" s="89" t="str">
        <f>"00050059"</f>
        <v>00050059</v>
      </c>
    </row>
    <row r="1862" spans="1:11" ht="71.25" x14ac:dyDescent="0.25">
      <c r="A1862" s="88">
        <v>108</v>
      </c>
      <c r="B1862" s="89" t="s">
        <v>4653</v>
      </c>
      <c r="C1862" s="88" t="s">
        <v>0</v>
      </c>
      <c r="D1862" s="89"/>
      <c r="E1862" s="91">
        <v>22481</v>
      </c>
      <c r="F1862" s="88">
        <v>7</v>
      </c>
      <c r="G1862" s="89" t="s">
        <v>4653</v>
      </c>
      <c r="H1862" s="89" t="s">
        <v>1838</v>
      </c>
      <c r="I1862" s="89" t="s">
        <v>1839</v>
      </c>
      <c r="J1862" s="89" t="s">
        <v>1840</v>
      </c>
      <c r="K1862" s="89" t="str">
        <f>"00051747"</f>
        <v>00051747</v>
      </c>
    </row>
    <row r="1863" spans="1:11" ht="42.75" x14ac:dyDescent="0.25">
      <c r="A1863" s="88">
        <v>108</v>
      </c>
      <c r="B1863" s="89" t="s">
        <v>4616</v>
      </c>
      <c r="C1863" s="88" t="s">
        <v>0</v>
      </c>
      <c r="D1863" s="89"/>
      <c r="E1863" s="91">
        <v>22864</v>
      </c>
      <c r="F1863" s="88">
        <v>7</v>
      </c>
      <c r="G1863" s="89" t="s">
        <v>4616</v>
      </c>
      <c r="H1863" s="89" t="s">
        <v>4621</v>
      </c>
      <c r="I1863" s="89" t="s">
        <v>32</v>
      </c>
      <c r="J1863" s="89" t="s">
        <v>4618</v>
      </c>
      <c r="K1863" s="89" t="str">
        <f>"00046403"</f>
        <v>00046403</v>
      </c>
    </row>
    <row r="1864" spans="1:11" ht="42.75" x14ac:dyDescent="0.25">
      <c r="A1864" s="88">
        <v>108</v>
      </c>
      <c r="B1864" s="89" t="s">
        <v>4616</v>
      </c>
      <c r="C1864" s="88" t="s">
        <v>0</v>
      </c>
      <c r="D1864" s="89"/>
      <c r="E1864" s="91">
        <v>28726</v>
      </c>
      <c r="F1864" s="88">
        <v>7</v>
      </c>
      <c r="G1864" s="89" t="s">
        <v>4616</v>
      </c>
      <c r="H1864" s="89" t="s">
        <v>4617</v>
      </c>
      <c r="I1864" s="89" t="s">
        <v>32</v>
      </c>
      <c r="J1864" s="89" t="s">
        <v>4618</v>
      </c>
      <c r="K1864" s="89" t="str">
        <f>"00046410"</f>
        <v>00046410</v>
      </c>
    </row>
    <row r="1865" spans="1:11" ht="42.75" x14ac:dyDescent="0.25">
      <c r="A1865" s="88">
        <v>108</v>
      </c>
      <c r="B1865" s="89" t="s">
        <v>4616</v>
      </c>
      <c r="C1865" s="88" t="s">
        <v>0</v>
      </c>
      <c r="D1865" s="89"/>
      <c r="E1865" s="91">
        <v>28726</v>
      </c>
      <c r="F1865" s="88">
        <v>7</v>
      </c>
      <c r="G1865" s="89" t="s">
        <v>4616</v>
      </c>
      <c r="H1865" s="89" t="s">
        <v>4617</v>
      </c>
      <c r="I1865" s="89" t="s">
        <v>32</v>
      </c>
      <c r="J1865" s="89" t="s">
        <v>4618</v>
      </c>
      <c r="K1865" s="89" t="str">
        <f>"00046301"</f>
        <v>00046301</v>
      </c>
    </row>
    <row r="1866" spans="1:11" ht="57" x14ac:dyDescent="0.25">
      <c r="A1866" s="88">
        <v>108</v>
      </c>
      <c r="B1866" s="89" t="s">
        <v>5795</v>
      </c>
      <c r="C1866" s="88" t="s">
        <v>5796</v>
      </c>
      <c r="D1866" s="89"/>
      <c r="E1866" s="91">
        <v>-62747</v>
      </c>
      <c r="F1866" s="88"/>
      <c r="G1866" s="89" t="s">
        <v>5797</v>
      </c>
      <c r="H1866" s="89" t="s">
        <v>5798</v>
      </c>
      <c r="I1866" s="89" t="s">
        <v>5799</v>
      </c>
      <c r="J1866" s="89" t="s">
        <v>5800</v>
      </c>
      <c r="K1866" s="31" t="s">
        <v>5801</v>
      </c>
    </row>
    <row r="1867" spans="1:11" ht="28.5" x14ac:dyDescent="0.25">
      <c r="A1867" s="88">
        <v>108</v>
      </c>
      <c r="B1867" s="89" t="s">
        <v>12</v>
      </c>
      <c r="C1867" s="88" t="s">
        <v>0</v>
      </c>
      <c r="D1867" s="91">
        <v>30090000</v>
      </c>
      <c r="E1867" s="28"/>
      <c r="F1867" s="88">
        <v>7</v>
      </c>
      <c r="G1867" s="89" t="s">
        <v>52</v>
      </c>
      <c r="H1867" s="89"/>
      <c r="I1867" s="89" t="s">
        <v>921</v>
      </c>
      <c r="J1867" s="89"/>
      <c r="K1867" s="89" t="str">
        <f>"　"</f>
        <v>　</v>
      </c>
    </row>
    <row r="1868" spans="1:11" ht="71.25" x14ac:dyDescent="0.25">
      <c r="A1868" s="88">
        <v>108</v>
      </c>
      <c r="B1868" s="89" t="s">
        <v>1038</v>
      </c>
      <c r="C1868" s="88" t="s">
        <v>0</v>
      </c>
      <c r="D1868" s="89"/>
      <c r="E1868" s="91">
        <v>59748</v>
      </c>
      <c r="F1868" s="88">
        <v>7</v>
      </c>
      <c r="G1868" s="89" t="s">
        <v>1039</v>
      </c>
      <c r="H1868" s="89" t="s">
        <v>1040</v>
      </c>
      <c r="I1868" s="89" t="s">
        <v>1041</v>
      </c>
      <c r="J1868" s="89" t="s">
        <v>1042</v>
      </c>
      <c r="K1868" s="89" t="str">
        <f>"00048514"</f>
        <v>00048514</v>
      </c>
    </row>
    <row r="1869" spans="1:11" ht="42.75" x14ac:dyDescent="0.25">
      <c r="A1869" s="88">
        <v>108</v>
      </c>
      <c r="B1869" s="89" t="s">
        <v>3645</v>
      </c>
      <c r="C1869" s="88" t="s">
        <v>0</v>
      </c>
      <c r="D1869" s="89"/>
      <c r="E1869" s="91">
        <v>112000</v>
      </c>
      <c r="F1869" s="88">
        <v>7</v>
      </c>
      <c r="G1869" s="89" t="s">
        <v>3646</v>
      </c>
      <c r="H1869" s="89" t="s">
        <v>3647</v>
      </c>
      <c r="I1869" s="89" t="s">
        <v>237</v>
      </c>
      <c r="J1869" s="89" t="s">
        <v>3648</v>
      </c>
      <c r="K1869" s="89" t="s">
        <v>6078</v>
      </c>
    </row>
    <row r="1870" spans="1:11" ht="71.25" x14ac:dyDescent="0.25">
      <c r="A1870" s="88">
        <v>108</v>
      </c>
      <c r="B1870" s="89" t="s">
        <v>295</v>
      </c>
      <c r="C1870" s="88" t="s">
        <v>0</v>
      </c>
      <c r="D1870" s="89"/>
      <c r="E1870" s="91">
        <v>1759</v>
      </c>
      <c r="F1870" s="88">
        <v>7</v>
      </c>
      <c r="G1870" s="89" t="s">
        <v>1043</v>
      </c>
      <c r="H1870" s="89" t="s">
        <v>297</v>
      </c>
      <c r="I1870" s="89" t="s">
        <v>32</v>
      </c>
      <c r="J1870" s="89" t="s">
        <v>298</v>
      </c>
      <c r="K1870" s="89" t="s">
        <v>6077</v>
      </c>
    </row>
    <row r="1871" spans="1:11" ht="71.25" x14ac:dyDescent="0.25">
      <c r="A1871" s="88">
        <v>108</v>
      </c>
      <c r="B1871" s="89" t="s">
        <v>287</v>
      </c>
      <c r="C1871" s="88" t="s">
        <v>0</v>
      </c>
      <c r="D1871" s="89"/>
      <c r="E1871" s="91">
        <v>100000</v>
      </c>
      <c r="F1871" s="88">
        <v>7</v>
      </c>
      <c r="G1871" s="89" t="s">
        <v>3649</v>
      </c>
      <c r="H1871" s="89" t="s">
        <v>3650</v>
      </c>
      <c r="I1871" s="89" t="s">
        <v>32</v>
      </c>
      <c r="J1871" s="89" t="s">
        <v>2709</v>
      </c>
      <c r="K1871" s="89" t="s">
        <v>6471</v>
      </c>
    </row>
    <row r="1872" spans="1:11" ht="57" x14ac:dyDescent="0.25">
      <c r="A1872" s="88">
        <v>108</v>
      </c>
      <c r="B1872" s="89" t="s">
        <v>1891</v>
      </c>
      <c r="C1872" s="88" t="s">
        <v>0</v>
      </c>
      <c r="D1872" s="89"/>
      <c r="E1872" s="91">
        <v>221413</v>
      </c>
      <c r="F1872" s="88">
        <v>7</v>
      </c>
      <c r="G1872" s="89" t="s">
        <v>3642</v>
      </c>
      <c r="H1872" s="89" t="s">
        <v>3643</v>
      </c>
      <c r="I1872" s="89" t="s">
        <v>237</v>
      </c>
      <c r="J1872" s="89" t="s">
        <v>3644</v>
      </c>
      <c r="K1872" s="89" t="str">
        <f>"00049393"</f>
        <v>00049393</v>
      </c>
    </row>
    <row r="1873" spans="1:11" ht="42.75" x14ac:dyDescent="0.25">
      <c r="A1873" s="88">
        <v>108</v>
      </c>
      <c r="B1873" s="89" t="s">
        <v>3651</v>
      </c>
      <c r="C1873" s="88" t="s">
        <v>0</v>
      </c>
      <c r="D1873" s="89"/>
      <c r="E1873" s="91">
        <v>37566</v>
      </c>
      <c r="F1873" s="88">
        <v>7</v>
      </c>
      <c r="G1873" s="89" t="s">
        <v>3652</v>
      </c>
      <c r="H1873" s="89" t="s">
        <v>2575</v>
      </c>
      <c r="I1873" s="89" t="s">
        <v>17</v>
      </c>
      <c r="J1873" s="89" t="s">
        <v>1265</v>
      </c>
      <c r="K1873" s="89" t="s">
        <v>6472</v>
      </c>
    </row>
    <row r="1874" spans="1:11" ht="71.25" x14ac:dyDescent="0.25">
      <c r="A1874" s="88">
        <v>108</v>
      </c>
      <c r="B1874" s="89" t="s">
        <v>5387</v>
      </c>
      <c r="C1874" s="88" t="s">
        <v>0</v>
      </c>
      <c r="D1874" s="89"/>
      <c r="E1874" s="91">
        <v>40777</v>
      </c>
      <c r="F1874" s="88">
        <v>7</v>
      </c>
      <c r="G1874" s="89" t="s">
        <v>3345</v>
      </c>
      <c r="H1874" s="89" t="s">
        <v>1838</v>
      </c>
      <c r="I1874" s="89" t="s">
        <v>1839</v>
      </c>
      <c r="J1874" s="89" t="s">
        <v>1840</v>
      </c>
      <c r="K1874" s="89" t="str">
        <f>"00051815"</f>
        <v>00051815</v>
      </c>
    </row>
    <row r="1875" spans="1:11" x14ac:dyDescent="0.25">
      <c r="A1875" s="88">
        <v>108</v>
      </c>
      <c r="B1875" s="89" t="s">
        <v>883</v>
      </c>
      <c r="C1875" s="88" t="s">
        <v>0</v>
      </c>
      <c r="D1875" s="94">
        <v>39983</v>
      </c>
      <c r="E1875" s="90"/>
      <c r="F1875" s="88">
        <v>7</v>
      </c>
      <c r="G1875" s="89" t="s">
        <v>889</v>
      </c>
      <c r="H1875" s="89"/>
      <c r="I1875" s="89" t="s">
        <v>885</v>
      </c>
      <c r="J1875" s="89"/>
      <c r="K1875" s="89" t="str">
        <f>"　"</f>
        <v>　</v>
      </c>
    </row>
    <row r="1876" spans="1:11" ht="42.75" x14ac:dyDescent="0.25">
      <c r="A1876" s="88">
        <v>108</v>
      </c>
      <c r="B1876" s="89" t="s">
        <v>883</v>
      </c>
      <c r="C1876" s="88" t="s">
        <v>0</v>
      </c>
      <c r="D1876" s="89"/>
      <c r="E1876" s="90">
        <v>39983</v>
      </c>
      <c r="F1876" s="88">
        <v>7</v>
      </c>
      <c r="G1876" s="89" t="s">
        <v>3366</v>
      </c>
      <c r="H1876" s="89" t="s">
        <v>3367</v>
      </c>
      <c r="I1876" s="89" t="s">
        <v>32</v>
      </c>
      <c r="J1876" s="89" t="s">
        <v>742</v>
      </c>
      <c r="K1876" s="89" t="str">
        <f>"00051902"</f>
        <v>00051902</v>
      </c>
    </row>
    <row r="1877" spans="1:11" x14ac:dyDescent="0.25">
      <c r="A1877" s="88">
        <v>108</v>
      </c>
      <c r="B1877" s="89" t="s">
        <v>883</v>
      </c>
      <c r="C1877" s="88" t="s">
        <v>0</v>
      </c>
      <c r="D1877" s="94">
        <v>30000</v>
      </c>
      <c r="E1877" s="90"/>
      <c r="F1877" s="88">
        <v>7</v>
      </c>
      <c r="G1877" s="89" t="s">
        <v>889</v>
      </c>
      <c r="H1877" s="89"/>
      <c r="I1877" s="89" t="s">
        <v>885</v>
      </c>
      <c r="J1877" s="89"/>
      <c r="K1877" s="89" t="str">
        <f>"　"</f>
        <v>　</v>
      </c>
    </row>
    <row r="1878" spans="1:11" ht="42.75" x14ac:dyDescent="0.25">
      <c r="A1878" s="88">
        <v>108</v>
      </c>
      <c r="B1878" s="89" t="s">
        <v>883</v>
      </c>
      <c r="C1878" s="88" t="s">
        <v>0</v>
      </c>
      <c r="D1878" s="89"/>
      <c r="E1878" s="90">
        <v>30000</v>
      </c>
      <c r="F1878" s="88">
        <v>7</v>
      </c>
      <c r="G1878" s="89" t="s">
        <v>3363</v>
      </c>
      <c r="H1878" s="89" t="s">
        <v>3364</v>
      </c>
      <c r="I1878" s="89" t="s">
        <v>242</v>
      </c>
      <c r="J1878" s="89" t="s">
        <v>243</v>
      </c>
      <c r="K1878" s="89" t="str">
        <f>"00051317"</f>
        <v>00051317</v>
      </c>
    </row>
    <row r="1879" spans="1:11" x14ac:dyDescent="0.25">
      <c r="A1879" s="88">
        <v>108</v>
      </c>
      <c r="B1879" s="89" t="s">
        <v>883</v>
      </c>
      <c r="C1879" s="88" t="s">
        <v>0</v>
      </c>
      <c r="D1879" s="94">
        <v>59898</v>
      </c>
      <c r="E1879" s="90"/>
      <c r="F1879" s="88">
        <v>7</v>
      </c>
      <c r="G1879" s="89" t="s">
        <v>889</v>
      </c>
      <c r="H1879" s="89"/>
      <c r="I1879" s="89" t="s">
        <v>885</v>
      </c>
      <c r="J1879" s="89"/>
      <c r="K1879" s="89" t="str">
        <f>"　"</f>
        <v>　</v>
      </c>
    </row>
    <row r="1880" spans="1:11" ht="42.75" x14ac:dyDescent="0.25">
      <c r="A1880" s="88">
        <v>108</v>
      </c>
      <c r="B1880" s="89" t="s">
        <v>883</v>
      </c>
      <c r="C1880" s="88" t="s">
        <v>0</v>
      </c>
      <c r="D1880" s="89"/>
      <c r="E1880" s="90">
        <v>59898</v>
      </c>
      <c r="F1880" s="88">
        <v>7</v>
      </c>
      <c r="G1880" s="89" t="s">
        <v>3368</v>
      </c>
      <c r="H1880" s="89" t="s">
        <v>3369</v>
      </c>
      <c r="I1880" s="89" t="s">
        <v>32</v>
      </c>
      <c r="J1880" s="89" t="s">
        <v>2313</v>
      </c>
      <c r="K1880" s="89" t="str">
        <f>"00051318"</f>
        <v>00051318</v>
      </c>
    </row>
    <row r="1881" spans="1:11" x14ac:dyDescent="0.25">
      <c r="A1881" s="88">
        <v>108</v>
      </c>
      <c r="B1881" s="89" t="s">
        <v>883</v>
      </c>
      <c r="C1881" s="88" t="s">
        <v>0</v>
      </c>
      <c r="D1881" s="94">
        <v>37986</v>
      </c>
      <c r="E1881" s="90"/>
      <c r="F1881" s="88">
        <v>7</v>
      </c>
      <c r="G1881" s="89" t="s">
        <v>889</v>
      </c>
      <c r="H1881" s="89"/>
      <c r="I1881" s="89" t="s">
        <v>885</v>
      </c>
      <c r="J1881" s="89"/>
      <c r="K1881" s="89" t="str">
        <f>"　"</f>
        <v>　</v>
      </c>
    </row>
    <row r="1882" spans="1:11" ht="42.75" x14ac:dyDescent="0.25">
      <c r="A1882" s="88">
        <v>108</v>
      </c>
      <c r="B1882" s="89" t="s">
        <v>883</v>
      </c>
      <c r="C1882" s="88" t="s">
        <v>0</v>
      </c>
      <c r="D1882" s="89"/>
      <c r="E1882" s="90">
        <v>37986</v>
      </c>
      <c r="F1882" s="88">
        <v>7</v>
      </c>
      <c r="G1882" s="89" t="s">
        <v>3365</v>
      </c>
      <c r="H1882" s="89" t="s">
        <v>1718</v>
      </c>
      <c r="I1882" s="89" t="s">
        <v>32</v>
      </c>
      <c r="J1882" s="89" t="s">
        <v>2313</v>
      </c>
      <c r="K1882" s="89" t="str">
        <f>"00052000"</f>
        <v>00052000</v>
      </c>
    </row>
    <row r="1883" spans="1:11" x14ac:dyDescent="0.25">
      <c r="A1883" s="88">
        <v>108</v>
      </c>
      <c r="B1883" s="89" t="s">
        <v>883</v>
      </c>
      <c r="C1883" s="88" t="s">
        <v>0</v>
      </c>
      <c r="D1883" s="94">
        <v>60000</v>
      </c>
      <c r="E1883" s="90"/>
      <c r="F1883" s="88">
        <v>7</v>
      </c>
      <c r="G1883" s="89" t="s">
        <v>889</v>
      </c>
      <c r="H1883" s="89"/>
      <c r="I1883" s="89" t="s">
        <v>885</v>
      </c>
      <c r="J1883" s="89"/>
      <c r="K1883" s="89" t="str">
        <f>"　"</f>
        <v>　</v>
      </c>
    </row>
    <row r="1884" spans="1:11" ht="42.75" x14ac:dyDescent="0.25">
      <c r="A1884" s="88">
        <v>108</v>
      </c>
      <c r="B1884" s="89" t="s">
        <v>883</v>
      </c>
      <c r="C1884" s="88" t="s">
        <v>0</v>
      </c>
      <c r="D1884" s="89"/>
      <c r="E1884" s="90">
        <v>60000</v>
      </c>
      <c r="F1884" s="88">
        <v>7</v>
      </c>
      <c r="G1884" s="89" t="s">
        <v>3370</v>
      </c>
      <c r="H1884" s="89" t="s">
        <v>3371</v>
      </c>
      <c r="I1884" s="89" t="s">
        <v>849</v>
      </c>
      <c r="J1884" s="89" t="s">
        <v>1532</v>
      </c>
      <c r="K1884" s="89" t="str">
        <f>"00050221"</f>
        <v>00050221</v>
      </c>
    </row>
    <row r="1885" spans="1:11" ht="28.5" x14ac:dyDescent="0.25">
      <c r="A1885" s="88">
        <v>108</v>
      </c>
      <c r="B1885" s="89" t="s">
        <v>883</v>
      </c>
      <c r="C1885" s="88" t="s">
        <v>0</v>
      </c>
      <c r="D1885" s="94">
        <v>103504</v>
      </c>
      <c r="E1885" s="90"/>
      <c r="F1885" s="88">
        <v>7</v>
      </c>
      <c r="G1885" s="89" t="s">
        <v>892</v>
      </c>
      <c r="H1885" s="89"/>
      <c r="I1885" s="89" t="s">
        <v>885</v>
      </c>
      <c r="J1885" s="89"/>
      <c r="K1885" s="89" t="str">
        <f>"　"</f>
        <v>　</v>
      </c>
    </row>
    <row r="1886" spans="1:11" ht="42.75" x14ac:dyDescent="0.25">
      <c r="A1886" s="88">
        <v>108</v>
      </c>
      <c r="B1886" s="89" t="s">
        <v>883</v>
      </c>
      <c r="C1886" s="88" t="s">
        <v>0</v>
      </c>
      <c r="D1886" s="89"/>
      <c r="E1886" s="90">
        <v>103504</v>
      </c>
      <c r="F1886" s="88">
        <v>7</v>
      </c>
      <c r="G1886" s="89" t="s">
        <v>3427</v>
      </c>
      <c r="H1886" s="89" t="s">
        <v>3428</v>
      </c>
      <c r="I1886" s="89" t="s">
        <v>32</v>
      </c>
      <c r="J1886" s="89" t="s">
        <v>3429</v>
      </c>
      <c r="K1886" s="89" t="str">
        <f>"00048078"</f>
        <v>00048078</v>
      </c>
    </row>
    <row r="1887" spans="1:11" ht="28.5" x14ac:dyDescent="0.25">
      <c r="A1887" s="88">
        <v>108</v>
      </c>
      <c r="B1887" s="89" t="s">
        <v>12</v>
      </c>
      <c r="C1887" s="88" t="s">
        <v>0</v>
      </c>
      <c r="D1887" s="91">
        <v>30090000</v>
      </c>
      <c r="E1887" s="90"/>
      <c r="F1887" s="88">
        <v>7</v>
      </c>
      <c r="G1887" s="89" t="s">
        <v>52</v>
      </c>
      <c r="H1887" s="89"/>
      <c r="I1887" s="89" t="s">
        <v>921</v>
      </c>
      <c r="J1887" s="89"/>
      <c r="K1887" s="89" t="str">
        <f>"　"</f>
        <v>　</v>
      </c>
    </row>
    <row r="1888" spans="1:11" ht="57" x14ac:dyDescent="0.25">
      <c r="A1888" s="88">
        <v>108</v>
      </c>
      <c r="B1888" s="89" t="s">
        <v>2369</v>
      </c>
      <c r="C1888" s="88" t="s">
        <v>0</v>
      </c>
      <c r="D1888" s="89"/>
      <c r="E1888" s="90">
        <v>100000</v>
      </c>
      <c r="F1888" s="88">
        <v>7</v>
      </c>
      <c r="G1888" s="89" t="s">
        <v>3795</v>
      </c>
      <c r="H1888" s="89" t="s">
        <v>3796</v>
      </c>
      <c r="I1888" s="89" t="s">
        <v>32</v>
      </c>
      <c r="J1888" s="89" t="s">
        <v>3797</v>
      </c>
      <c r="K1888" s="89" t="str">
        <f>"00051325"</f>
        <v>00051325</v>
      </c>
    </row>
    <row r="1889" spans="1:11" ht="42.75" x14ac:dyDescent="0.25">
      <c r="A1889" s="88">
        <v>108</v>
      </c>
      <c r="B1889" s="89" t="s">
        <v>1156</v>
      </c>
      <c r="C1889" s="88" t="s">
        <v>0</v>
      </c>
      <c r="D1889" s="89"/>
      <c r="E1889" s="90">
        <v>48005</v>
      </c>
      <c r="F1889" s="88">
        <v>7</v>
      </c>
      <c r="G1889" s="89" t="s">
        <v>1157</v>
      </c>
      <c r="H1889" s="89" t="s">
        <v>1158</v>
      </c>
      <c r="I1889" s="89" t="s">
        <v>32</v>
      </c>
      <c r="J1889" s="89" t="s">
        <v>1159</v>
      </c>
      <c r="K1889" s="89" t="str">
        <f>"00046558"</f>
        <v>00046558</v>
      </c>
    </row>
    <row r="1890" spans="1:11" ht="57" x14ac:dyDescent="0.25">
      <c r="A1890" s="88">
        <v>108</v>
      </c>
      <c r="B1890" s="89" t="s">
        <v>3798</v>
      </c>
      <c r="C1890" s="88" t="s">
        <v>0</v>
      </c>
      <c r="D1890" s="89"/>
      <c r="E1890" s="90">
        <v>199546</v>
      </c>
      <c r="F1890" s="88">
        <v>7</v>
      </c>
      <c r="G1890" s="89" t="s">
        <v>3799</v>
      </c>
      <c r="H1890" s="89" t="s">
        <v>3800</v>
      </c>
      <c r="I1890" s="89" t="s">
        <v>209</v>
      </c>
      <c r="J1890" s="89" t="s">
        <v>210</v>
      </c>
      <c r="K1890" s="89" t="str">
        <f>"00052149"</f>
        <v>00052149</v>
      </c>
    </row>
    <row r="1891" spans="1:11" ht="57" x14ac:dyDescent="0.25">
      <c r="A1891" s="88">
        <v>108</v>
      </c>
      <c r="B1891" s="89" t="s">
        <v>3801</v>
      </c>
      <c r="C1891" s="88" t="s">
        <v>0</v>
      </c>
      <c r="D1891" s="89"/>
      <c r="E1891" s="90">
        <v>89081</v>
      </c>
      <c r="F1891" s="88">
        <v>7</v>
      </c>
      <c r="G1891" s="89" t="s">
        <v>3804</v>
      </c>
      <c r="H1891" s="89" t="s">
        <v>3803</v>
      </c>
      <c r="I1891" s="89" t="s">
        <v>242</v>
      </c>
      <c r="J1891" s="89" t="s">
        <v>900</v>
      </c>
      <c r="K1891" s="89" t="str">
        <f>"00052210"</f>
        <v>00052210</v>
      </c>
    </row>
    <row r="1892" spans="1:11" ht="71.25" x14ac:dyDescent="0.25">
      <c r="A1892" s="88">
        <v>108</v>
      </c>
      <c r="B1892" s="89" t="s">
        <v>3801</v>
      </c>
      <c r="C1892" s="88" t="s">
        <v>5802</v>
      </c>
      <c r="D1892" s="89"/>
      <c r="E1892" s="90">
        <v>89209</v>
      </c>
      <c r="F1892" s="88">
        <v>7</v>
      </c>
      <c r="G1892" s="89" t="s">
        <v>3802</v>
      </c>
      <c r="H1892" s="89" t="s">
        <v>3803</v>
      </c>
      <c r="I1892" s="89" t="s">
        <v>242</v>
      </c>
      <c r="J1892" s="89" t="s">
        <v>900</v>
      </c>
      <c r="K1892" s="89" t="str">
        <f>"00052209"</f>
        <v>00052209</v>
      </c>
    </row>
    <row r="1893" spans="1:11" ht="42.75" x14ac:dyDescent="0.25">
      <c r="A1893" s="88">
        <v>108</v>
      </c>
      <c r="B1893" s="89" t="s">
        <v>5803</v>
      </c>
      <c r="C1893" s="88" t="s">
        <v>5802</v>
      </c>
      <c r="D1893" s="89"/>
      <c r="E1893" s="90">
        <v>72562</v>
      </c>
      <c r="F1893" s="88"/>
      <c r="G1893" s="89" t="s">
        <v>5804</v>
      </c>
      <c r="H1893" s="89" t="s">
        <v>5805</v>
      </c>
      <c r="I1893" s="89" t="s">
        <v>5806</v>
      </c>
      <c r="J1893" s="89" t="s">
        <v>5807</v>
      </c>
      <c r="K1893" s="89" t="s">
        <v>5808</v>
      </c>
    </row>
    <row r="1894" spans="1:11" ht="42.75" x14ac:dyDescent="0.25">
      <c r="A1894" s="88">
        <v>108</v>
      </c>
      <c r="B1894" s="89" t="s">
        <v>4688</v>
      </c>
      <c r="C1894" s="88" t="s">
        <v>0</v>
      </c>
      <c r="D1894" s="89"/>
      <c r="E1894" s="90">
        <v>97116</v>
      </c>
      <c r="F1894" s="88">
        <v>7</v>
      </c>
      <c r="G1894" s="89" t="s">
        <v>3427</v>
      </c>
      <c r="H1894" s="89" t="s">
        <v>3428</v>
      </c>
      <c r="I1894" s="89" t="s">
        <v>32</v>
      </c>
      <c r="J1894" s="89" t="s">
        <v>3429</v>
      </c>
      <c r="K1894" s="89" t="str">
        <f>"00048078"</f>
        <v>00048078</v>
      </c>
    </row>
    <row r="1895" spans="1:11" ht="57" x14ac:dyDescent="0.25">
      <c r="A1895" s="88">
        <v>108</v>
      </c>
      <c r="B1895" s="89" t="s">
        <v>4602</v>
      </c>
      <c r="C1895" s="88" t="s">
        <v>0</v>
      </c>
      <c r="D1895" s="89"/>
      <c r="E1895" s="90">
        <v>39777</v>
      </c>
      <c r="F1895" s="88">
        <v>7</v>
      </c>
      <c r="G1895" s="89" t="s">
        <v>3795</v>
      </c>
      <c r="H1895" s="89" t="s">
        <v>3796</v>
      </c>
      <c r="I1895" s="89" t="s">
        <v>32</v>
      </c>
      <c r="J1895" s="89" t="s">
        <v>3797</v>
      </c>
      <c r="K1895" s="89" t="str">
        <f>"00051325"</f>
        <v>00051325</v>
      </c>
    </row>
    <row r="1896" spans="1:11" ht="42.75" x14ac:dyDescent="0.25">
      <c r="A1896" s="88">
        <v>108</v>
      </c>
      <c r="B1896" s="89" t="s">
        <v>4636</v>
      </c>
      <c r="C1896" s="88" t="s">
        <v>0</v>
      </c>
      <c r="D1896" s="89"/>
      <c r="E1896" s="90">
        <v>192699</v>
      </c>
      <c r="F1896" s="88">
        <v>7</v>
      </c>
      <c r="G1896" s="89" t="s">
        <v>4636</v>
      </c>
      <c r="H1896" s="89" t="s">
        <v>4637</v>
      </c>
      <c r="I1896" s="89" t="s">
        <v>32</v>
      </c>
      <c r="J1896" s="89" t="s">
        <v>4638</v>
      </c>
      <c r="K1896" s="89" t="str">
        <f>"00047720"</f>
        <v>00047720</v>
      </c>
    </row>
    <row r="1897" spans="1:11" ht="57" x14ac:dyDescent="0.25">
      <c r="A1897" s="88">
        <v>108</v>
      </c>
      <c r="B1897" s="89" t="s">
        <v>4646</v>
      </c>
      <c r="C1897" s="88" t="s">
        <v>0</v>
      </c>
      <c r="D1897" s="89"/>
      <c r="E1897" s="90">
        <v>101079</v>
      </c>
      <c r="F1897" s="88">
        <v>7</v>
      </c>
      <c r="G1897" s="89" t="s">
        <v>4647</v>
      </c>
      <c r="H1897" s="89" t="s">
        <v>4648</v>
      </c>
      <c r="I1897" s="89" t="s">
        <v>32</v>
      </c>
      <c r="J1897" s="89" t="s">
        <v>4638</v>
      </c>
      <c r="K1897" s="89" t="str">
        <f>"00048646"</f>
        <v>00048646</v>
      </c>
    </row>
    <row r="1898" spans="1:11" ht="57" x14ac:dyDescent="0.25">
      <c r="A1898" s="88">
        <v>108</v>
      </c>
      <c r="B1898" s="89" t="s">
        <v>4666</v>
      </c>
      <c r="C1898" s="88" t="s">
        <v>0</v>
      </c>
      <c r="D1898" s="89"/>
      <c r="E1898" s="90">
        <v>46811</v>
      </c>
      <c r="F1898" s="88">
        <v>7</v>
      </c>
      <c r="G1898" s="89" t="s">
        <v>4666</v>
      </c>
      <c r="H1898" s="89" t="s">
        <v>4667</v>
      </c>
      <c r="I1898" s="89" t="s">
        <v>32</v>
      </c>
      <c r="J1898" s="89" t="s">
        <v>262</v>
      </c>
      <c r="K1898" s="89" t="str">
        <f>"00049424"</f>
        <v>00049424</v>
      </c>
    </row>
    <row r="1899" spans="1:11" x14ac:dyDescent="0.25">
      <c r="A1899" s="88">
        <v>108</v>
      </c>
      <c r="B1899" s="89" t="s">
        <v>883</v>
      </c>
      <c r="C1899" s="88" t="s">
        <v>0</v>
      </c>
      <c r="D1899" s="94">
        <v>40336</v>
      </c>
      <c r="E1899" s="50"/>
      <c r="F1899" s="88">
        <v>7</v>
      </c>
      <c r="G1899" s="89" t="s">
        <v>889</v>
      </c>
      <c r="H1899" s="89"/>
      <c r="I1899" s="89" t="s">
        <v>885</v>
      </c>
      <c r="J1899" s="89"/>
      <c r="K1899" s="89" t="str">
        <f>"　"</f>
        <v>　</v>
      </c>
    </row>
    <row r="1900" spans="1:11" ht="156.75" x14ac:dyDescent="0.25">
      <c r="A1900" s="88">
        <v>108</v>
      </c>
      <c r="B1900" s="89" t="s">
        <v>883</v>
      </c>
      <c r="C1900" s="88" t="s">
        <v>0</v>
      </c>
      <c r="D1900" s="89"/>
      <c r="E1900" s="27">
        <v>40336</v>
      </c>
      <c r="F1900" s="88">
        <v>7</v>
      </c>
      <c r="G1900" s="89" t="s">
        <v>3362</v>
      </c>
      <c r="H1900" s="89" t="s">
        <v>1696</v>
      </c>
      <c r="I1900" s="89" t="s">
        <v>32</v>
      </c>
      <c r="J1900" s="89" t="s">
        <v>1697</v>
      </c>
      <c r="K1900" s="89" t="s">
        <v>6579</v>
      </c>
    </row>
    <row r="1901" spans="1:11" x14ac:dyDescent="0.25">
      <c r="A1901" s="88">
        <v>108</v>
      </c>
      <c r="B1901" s="89" t="s">
        <v>883</v>
      </c>
      <c r="C1901" s="88" t="s">
        <v>0</v>
      </c>
      <c r="D1901" s="94">
        <v>20246</v>
      </c>
      <c r="E1901" s="28"/>
      <c r="F1901" s="88">
        <v>7</v>
      </c>
      <c r="G1901" s="89" t="s">
        <v>889</v>
      </c>
      <c r="H1901" s="89"/>
      <c r="I1901" s="89" t="s">
        <v>885</v>
      </c>
      <c r="J1901" s="89"/>
      <c r="K1901" s="89" t="str">
        <f>"　"</f>
        <v>　</v>
      </c>
    </row>
    <row r="1902" spans="1:11" ht="85.5" x14ac:dyDescent="0.25">
      <c r="A1902" s="88">
        <v>108</v>
      </c>
      <c r="B1902" s="89" t="s">
        <v>883</v>
      </c>
      <c r="C1902" s="88" t="s">
        <v>0</v>
      </c>
      <c r="D1902" s="89"/>
      <c r="E1902" s="91">
        <v>20246</v>
      </c>
      <c r="F1902" s="88">
        <v>7</v>
      </c>
      <c r="G1902" s="89" t="s">
        <v>3360</v>
      </c>
      <c r="H1902" s="89" t="s">
        <v>3361</v>
      </c>
      <c r="I1902" s="89" t="s">
        <v>66</v>
      </c>
      <c r="J1902" s="89" t="s">
        <v>99</v>
      </c>
      <c r="K1902" s="89" t="s">
        <v>6580</v>
      </c>
    </row>
    <row r="1903" spans="1:11" ht="28.5" x14ac:dyDescent="0.25">
      <c r="A1903" s="88">
        <v>108</v>
      </c>
      <c r="B1903" s="89" t="s">
        <v>883</v>
      </c>
      <c r="C1903" s="88" t="s">
        <v>0</v>
      </c>
      <c r="D1903" s="94">
        <v>50000</v>
      </c>
      <c r="E1903" s="28"/>
      <c r="F1903" s="88">
        <v>7</v>
      </c>
      <c r="G1903" s="89" t="s">
        <v>892</v>
      </c>
      <c r="H1903" s="89"/>
      <c r="I1903" s="89" t="s">
        <v>885</v>
      </c>
      <c r="J1903" s="89"/>
      <c r="K1903" s="89" t="str">
        <f>"　"</f>
        <v>　</v>
      </c>
    </row>
    <row r="1904" spans="1:11" s="18" customFormat="1" ht="171" x14ac:dyDescent="0.25">
      <c r="A1904" s="88">
        <v>108</v>
      </c>
      <c r="B1904" s="89" t="s">
        <v>883</v>
      </c>
      <c r="C1904" s="88" t="s">
        <v>0</v>
      </c>
      <c r="D1904" s="89"/>
      <c r="E1904" s="91">
        <v>50000</v>
      </c>
      <c r="F1904" s="88">
        <v>7</v>
      </c>
      <c r="G1904" s="89" t="s">
        <v>904</v>
      </c>
      <c r="H1904" s="89" t="s">
        <v>905</v>
      </c>
      <c r="I1904" s="89" t="s">
        <v>237</v>
      </c>
      <c r="J1904" s="89" t="s">
        <v>906</v>
      </c>
      <c r="K1904" s="89" t="s">
        <v>5953</v>
      </c>
    </row>
    <row r="1905" spans="1:11" x14ac:dyDescent="0.25">
      <c r="A1905" s="88">
        <v>108</v>
      </c>
      <c r="B1905" s="89" t="s">
        <v>12</v>
      </c>
      <c r="C1905" s="88" t="s">
        <v>0</v>
      </c>
      <c r="D1905" s="91">
        <v>30090000</v>
      </c>
      <c r="E1905" s="28"/>
      <c r="F1905" s="88">
        <v>7</v>
      </c>
      <c r="G1905" s="89" t="s">
        <v>52</v>
      </c>
      <c r="H1905" s="89"/>
      <c r="I1905" s="19" t="s">
        <v>921</v>
      </c>
      <c r="J1905" s="89"/>
      <c r="K1905" s="89" t="str">
        <f>"　"</f>
        <v>　</v>
      </c>
    </row>
    <row r="1906" spans="1:11" ht="57" x14ac:dyDescent="0.25">
      <c r="A1906" s="88">
        <v>108</v>
      </c>
      <c r="B1906" s="89" t="s">
        <v>447</v>
      </c>
      <c r="C1906" s="88" t="s">
        <v>0</v>
      </c>
      <c r="D1906" s="89"/>
      <c r="E1906" s="91">
        <v>31047</v>
      </c>
      <c r="F1906" s="88">
        <v>7</v>
      </c>
      <c r="G1906" s="89" t="s">
        <v>3782</v>
      </c>
      <c r="H1906" s="89" t="s">
        <v>3783</v>
      </c>
      <c r="I1906" s="89" t="s">
        <v>80</v>
      </c>
      <c r="J1906" s="89" t="s">
        <v>80</v>
      </c>
      <c r="K1906" s="89" t="str">
        <f>"00051827"</f>
        <v>00051827</v>
      </c>
    </row>
    <row r="1907" spans="1:11" ht="42.75" x14ac:dyDescent="0.25">
      <c r="A1907" s="88">
        <v>108</v>
      </c>
      <c r="B1907" s="89" t="s">
        <v>3784</v>
      </c>
      <c r="C1907" s="88" t="s">
        <v>0</v>
      </c>
      <c r="D1907" s="89"/>
      <c r="E1907" s="91">
        <v>30176</v>
      </c>
      <c r="F1907" s="88">
        <v>7</v>
      </c>
      <c r="G1907" s="89" t="s">
        <v>3787</v>
      </c>
      <c r="H1907" s="89" t="s">
        <v>3788</v>
      </c>
      <c r="I1907" s="89" t="s">
        <v>185</v>
      </c>
      <c r="J1907" s="89" t="s">
        <v>3789</v>
      </c>
      <c r="K1907" s="89" t="s">
        <v>6079</v>
      </c>
    </row>
    <row r="1908" spans="1:11" ht="199.5" x14ac:dyDescent="0.25">
      <c r="A1908" s="79">
        <v>108</v>
      </c>
      <c r="B1908" s="89" t="s">
        <v>447</v>
      </c>
      <c r="C1908" s="88" t="s">
        <v>0</v>
      </c>
      <c r="D1908" s="89"/>
      <c r="E1908" s="60">
        <v>62000</v>
      </c>
      <c r="F1908" s="79">
        <v>7</v>
      </c>
      <c r="G1908" s="96" t="s">
        <v>1152</v>
      </c>
      <c r="H1908" s="96" t="s">
        <v>1153</v>
      </c>
      <c r="I1908" s="96" t="s">
        <v>1154</v>
      </c>
      <c r="J1908" s="96" t="s">
        <v>1155</v>
      </c>
      <c r="K1908" s="89" t="s">
        <v>5955</v>
      </c>
    </row>
    <row r="1909" spans="1:11" ht="242.25" x14ac:dyDescent="0.25">
      <c r="A1909" s="88">
        <v>108</v>
      </c>
      <c r="B1909" s="89" t="s">
        <v>447</v>
      </c>
      <c r="C1909" s="88" t="s">
        <v>0</v>
      </c>
      <c r="D1909" s="89"/>
      <c r="E1909" s="91">
        <v>48062</v>
      </c>
      <c r="F1909" s="88">
        <v>7</v>
      </c>
      <c r="G1909" s="89" t="s">
        <v>3775</v>
      </c>
      <c r="H1909" s="89" t="s">
        <v>3776</v>
      </c>
      <c r="I1909" s="89" t="s">
        <v>32</v>
      </c>
      <c r="J1909" s="89" t="s">
        <v>3777</v>
      </c>
      <c r="K1909" s="89" t="s">
        <v>5954</v>
      </c>
    </row>
    <row r="1910" spans="1:11" ht="42.75" x14ac:dyDescent="0.25">
      <c r="A1910" s="88">
        <v>108</v>
      </c>
      <c r="B1910" s="89" t="s">
        <v>3784</v>
      </c>
      <c r="C1910" s="88" t="s">
        <v>0</v>
      </c>
      <c r="D1910" s="89"/>
      <c r="E1910" s="91">
        <v>48636</v>
      </c>
      <c r="F1910" s="88">
        <v>7</v>
      </c>
      <c r="G1910" s="89" t="s">
        <v>3785</v>
      </c>
      <c r="H1910" s="89" t="s">
        <v>1940</v>
      </c>
      <c r="I1910" s="89" t="s">
        <v>185</v>
      </c>
      <c r="J1910" s="89" t="s">
        <v>3786</v>
      </c>
      <c r="K1910" s="89" t="str">
        <f>"00051169"</f>
        <v>00051169</v>
      </c>
    </row>
    <row r="1911" spans="1:11" ht="71.25" x14ac:dyDescent="0.25">
      <c r="A1911" s="88">
        <v>108</v>
      </c>
      <c r="B1911" s="89" t="s">
        <v>3772</v>
      </c>
      <c r="C1911" s="88" t="s">
        <v>0</v>
      </c>
      <c r="D1911" s="89"/>
      <c r="E1911" s="91">
        <v>55490</v>
      </c>
      <c r="F1911" s="88">
        <v>7</v>
      </c>
      <c r="G1911" s="89" t="s">
        <v>3773</v>
      </c>
      <c r="H1911" s="89" t="s">
        <v>3774</v>
      </c>
      <c r="I1911" s="89" t="s">
        <v>242</v>
      </c>
      <c r="J1911" s="89" t="s">
        <v>1428</v>
      </c>
      <c r="K1911" s="89" t="str">
        <f>"00051165"</f>
        <v>00051165</v>
      </c>
    </row>
    <row r="1912" spans="1:11" ht="57" x14ac:dyDescent="0.25">
      <c r="A1912" s="88">
        <v>108</v>
      </c>
      <c r="B1912" s="89" t="s">
        <v>2282</v>
      </c>
      <c r="C1912" s="88" t="s">
        <v>0</v>
      </c>
      <c r="D1912" s="89"/>
      <c r="E1912" s="91">
        <v>76413</v>
      </c>
      <c r="F1912" s="88">
        <v>7</v>
      </c>
      <c r="G1912" s="89" t="s">
        <v>3779</v>
      </c>
      <c r="H1912" s="89" t="s">
        <v>3780</v>
      </c>
      <c r="I1912" s="89" t="s">
        <v>106</v>
      </c>
      <c r="J1912" s="89" t="s">
        <v>3781</v>
      </c>
      <c r="K1912" s="89" t="str">
        <f>"00051286"</f>
        <v>00051286</v>
      </c>
    </row>
    <row r="1913" spans="1:11" ht="128.25" x14ac:dyDescent="0.25">
      <c r="A1913" s="88">
        <v>108</v>
      </c>
      <c r="B1913" s="89" t="s">
        <v>3790</v>
      </c>
      <c r="C1913" s="88" t="s">
        <v>0</v>
      </c>
      <c r="D1913" s="89"/>
      <c r="E1913" s="91">
        <v>33000</v>
      </c>
      <c r="F1913" s="88">
        <v>7</v>
      </c>
      <c r="G1913" s="89" t="s">
        <v>3791</v>
      </c>
      <c r="H1913" s="89" t="s">
        <v>3792</v>
      </c>
      <c r="I1913" s="89" t="s">
        <v>3793</v>
      </c>
      <c r="J1913" s="89" t="s">
        <v>3794</v>
      </c>
      <c r="K1913" s="89" t="s">
        <v>6061</v>
      </c>
    </row>
    <row r="1914" spans="1:11" ht="71.25" x14ac:dyDescent="0.25">
      <c r="A1914" s="88">
        <v>108</v>
      </c>
      <c r="B1914" s="89" t="s">
        <v>4654</v>
      </c>
      <c r="C1914" s="88" t="s">
        <v>0</v>
      </c>
      <c r="D1914" s="89"/>
      <c r="E1914" s="91">
        <v>57417</v>
      </c>
      <c r="F1914" s="88">
        <v>7</v>
      </c>
      <c r="G1914" s="89" t="s">
        <v>4655</v>
      </c>
      <c r="H1914" s="89" t="s">
        <v>4656</v>
      </c>
      <c r="I1914" s="89" t="s">
        <v>66</v>
      </c>
      <c r="J1914" s="89" t="s">
        <v>125</v>
      </c>
      <c r="K1914" s="89" t="str">
        <f>"00051535"</f>
        <v>00051535</v>
      </c>
    </row>
    <row r="1915" spans="1:11" x14ac:dyDescent="0.25">
      <c r="A1915" s="88">
        <v>108</v>
      </c>
      <c r="B1915" s="89" t="s">
        <v>883</v>
      </c>
      <c r="C1915" s="88" t="s">
        <v>0</v>
      </c>
      <c r="D1915" s="94">
        <v>40063</v>
      </c>
      <c r="E1915" s="28"/>
      <c r="F1915" s="88">
        <v>7</v>
      </c>
      <c r="G1915" s="89" t="s">
        <v>889</v>
      </c>
      <c r="H1915" s="89"/>
      <c r="I1915" s="89" t="s">
        <v>885</v>
      </c>
      <c r="J1915" s="89"/>
      <c r="K1915" s="89" t="str">
        <f>"　"</f>
        <v>　</v>
      </c>
    </row>
    <row r="1916" spans="1:11" ht="71.25" x14ac:dyDescent="0.25">
      <c r="A1916" s="88">
        <v>108</v>
      </c>
      <c r="B1916" s="89" t="s">
        <v>883</v>
      </c>
      <c r="C1916" s="88" t="s">
        <v>0</v>
      </c>
      <c r="D1916" s="89"/>
      <c r="E1916" s="91">
        <v>40063</v>
      </c>
      <c r="F1916" s="88">
        <v>7</v>
      </c>
      <c r="G1916" s="89" t="s">
        <v>3372</v>
      </c>
      <c r="H1916" s="89" t="s">
        <v>3373</v>
      </c>
      <c r="I1916" s="89" t="s">
        <v>32</v>
      </c>
      <c r="J1916" s="89" t="s">
        <v>294</v>
      </c>
      <c r="K1916" s="89" t="s">
        <v>6578</v>
      </c>
    </row>
    <row r="1917" spans="1:11" x14ac:dyDescent="0.25">
      <c r="A1917" s="88">
        <v>108</v>
      </c>
      <c r="B1917" s="89" t="s">
        <v>883</v>
      </c>
      <c r="C1917" s="88" t="s">
        <v>0</v>
      </c>
      <c r="D1917" s="94">
        <v>46234</v>
      </c>
      <c r="E1917" s="28"/>
      <c r="F1917" s="88">
        <v>7</v>
      </c>
      <c r="G1917" s="89" t="s">
        <v>889</v>
      </c>
      <c r="H1917" s="89"/>
      <c r="I1917" s="89" t="s">
        <v>885</v>
      </c>
      <c r="J1917" s="89"/>
      <c r="K1917" s="89" t="str">
        <f>"　"</f>
        <v>　</v>
      </c>
    </row>
    <row r="1918" spans="1:11" ht="114" x14ac:dyDescent="0.25">
      <c r="A1918" s="88">
        <v>108</v>
      </c>
      <c r="B1918" s="89" t="s">
        <v>883</v>
      </c>
      <c r="C1918" s="88" t="s">
        <v>0</v>
      </c>
      <c r="D1918" s="89"/>
      <c r="E1918" s="91">
        <v>46234</v>
      </c>
      <c r="F1918" s="88">
        <v>7</v>
      </c>
      <c r="G1918" s="89" t="s">
        <v>3374</v>
      </c>
      <c r="H1918" s="89" t="s">
        <v>3375</v>
      </c>
      <c r="I1918" s="89" t="s">
        <v>32</v>
      </c>
      <c r="J1918" s="89" t="s">
        <v>3376</v>
      </c>
      <c r="K1918" s="89" t="str">
        <f>"00052828"</f>
        <v>00052828</v>
      </c>
    </row>
    <row r="1919" spans="1:11" ht="28.5" x14ac:dyDescent="0.25">
      <c r="A1919" s="88">
        <v>108</v>
      </c>
      <c r="B1919" s="89" t="s">
        <v>12</v>
      </c>
      <c r="C1919" s="88" t="s">
        <v>0</v>
      </c>
      <c r="D1919" s="91">
        <v>30090000</v>
      </c>
      <c r="E1919" s="28"/>
      <c r="F1919" s="88">
        <v>7</v>
      </c>
      <c r="G1919" s="89" t="s">
        <v>52</v>
      </c>
      <c r="H1919" s="89"/>
      <c r="I1919" s="89" t="s">
        <v>921</v>
      </c>
      <c r="J1919" s="89"/>
      <c r="K1919" s="89" t="str">
        <f>"　"</f>
        <v>　</v>
      </c>
    </row>
    <row r="1920" spans="1:11" ht="128.25" x14ac:dyDescent="0.25">
      <c r="A1920" s="88">
        <v>108</v>
      </c>
      <c r="B1920" s="89" t="s">
        <v>1164</v>
      </c>
      <c r="C1920" s="88" t="s">
        <v>0</v>
      </c>
      <c r="D1920" s="89"/>
      <c r="E1920" s="91">
        <v>51178</v>
      </c>
      <c r="F1920" s="88">
        <v>7</v>
      </c>
      <c r="G1920" s="89" t="s">
        <v>1165</v>
      </c>
      <c r="H1920" s="89" t="s">
        <v>1166</v>
      </c>
      <c r="I1920" s="89" t="s">
        <v>66</v>
      </c>
      <c r="J1920" s="89" t="s">
        <v>125</v>
      </c>
      <c r="K1920" s="89" t="s">
        <v>5956</v>
      </c>
    </row>
    <row r="1921" spans="1:11" ht="71.25" x14ac:dyDescent="0.25">
      <c r="A1921" s="88">
        <v>108</v>
      </c>
      <c r="B1921" s="89" t="s">
        <v>1160</v>
      </c>
      <c r="C1921" s="88" t="s">
        <v>0</v>
      </c>
      <c r="D1921" s="89"/>
      <c r="E1921" s="91">
        <v>66721</v>
      </c>
      <c r="F1921" s="88">
        <v>7</v>
      </c>
      <c r="G1921" s="89" t="s">
        <v>1161</v>
      </c>
      <c r="H1921" s="89" t="s">
        <v>1162</v>
      </c>
      <c r="I1921" s="89" t="s">
        <v>66</v>
      </c>
      <c r="J1921" s="89" t="s">
        <v>1163</v>
      </c>
      <c r="K1921" s="89" t="s">
        <v>6063</v>
      </c>
    </row>
    <row r="1922" spans="1:11" ht="42.75" x14ac:dyDescent="0.25">
      <c r="A1922" s="88">
        <v>108</v>
      </c>
      <c r="B1922" s="89" t="s">
        <v>2478</v>
      </c>
      <c r="C1922" s="88" t="s">
        <v>0</v>
      </c>
      <c r="D1922" s="89"/>
      <c r="E1922" s="91">
        <v>42403</v>
      </c>
      <c r="F1922" s="88">
        <v>7</v>
      </c>
      <c r="G1922" s="89" t="s">
        <v>3805</v>
      </c>
      <c r="H1922" s="89" t="s">
        <v>2461</v>
      </c>
      <c r="I1922" s="89" t="s">
        <v>94</v>
      </c>
      <c r="J1922" s="89" t="s">
        <v>355</v>
      </c>
      <c r="K1922" s="89" t="s">
        <v>6062</v>
      </c>
    </row>
    <row r="1923" spans="1:11" ht="71.25" x14ac:dyDescent="0.25">
      <c r="A1923" s="88">
        <v>108</v>
      </c>
      <c r="B1923" s="89" t="s">
        <v>1164</v>
      </c>
      <c r="C1923" s="88" t="s">
        <v>0</v>
      </c>
      <c r="D1923" s="89"/>
      <c r="E1923" s="91">
        <v>51178</v>
      </c>
      <c r="F1923" s="88">
        <v>7</v>
      </c>
      <c r="G1923" s="89" t="s">
        <v>1167</v>
      </c>
      <c r="H1923" s="89" t="s">
        <v>1166</v>
      </c>
      <c r="I1923" s="89" t="s">
        <v>66</v>
      </c>
      <c r="J1923" s="89" t="s">
        <v>125</v>
      </c>
      <c r="K1923" s="89" t="s">
        <v>6081</v>
      </c>
    </row>
    <row r="1924" spans="1:11" ht="85.5" x14ac:dyDescent="0.25">
      <c r="A1924" s="88">
        <v>108</v>
      </c>
      <c r="B1924" s="89" t="s">
        <v>2455</v>
      </c>
      <c r="C1924" s="88" t="s">
        <v>0</v>
      </c>
      <c r="D1924" s="89"/>
      <c r="E1924" s="91">
        <v>67275</v>
      </c>
      <c r="F1924" s="88">
        <v>7</v>
      </c>
      <c r="G1924" s="89" t="s">
        <v>2456</v>
      </c>
      <c r="H1924" s="89" t="s">
        <v>2457</v>
      </c>
      <c r="I1924" s="89" t="s">
        <v>1315</v>
      </c>
      <c r="J1924" s="89" t="s">
        <v>2458</v>
      </c>
      <c r="K1924" s="89" t="s">
        <v>6080</v>
      </c>
    </row>
    <row r="1925" spans="1:11" ht="71.25" x14ac:dyDescent="0.25">
      <c r="A1925" s="88">
        <v>108</v>
      </c>
      <c r="B1925" s="89" t="s">
        <v>2455</v>
      </c>
      <c r="C1925" s="88" t="s">
        <v>0</v>
      </c>
      <c r="D1925" s="89"/>
      <c r="E1925" s="91">
        <v>11168</v>
      </c>
      <c r="F1925" s="88">
        <v>7</v>
      </c>
      <c r="G1925" s="89" t="s">
        <v>5809</v>
      </c>
      <c r="H1925" s="89" t="s">
        <v>2487</v>
      </c>
      <c r="I1925" s="89" t="s">
        <v>66</v>
      </c>
      <c r="J1925" s="89" t="s">
        <v>2488</v>
      </c>
      <c r="K1925" s="89" t="s">
        <v>6082</v>
      </c>
    </row>
    <row r="1926" spans="1:11" ht="71.25" x14ac:dyDescent="0.25">
      <c r="A1926" s="88">
        <v>108</v>
      </c>
      <c r="B1926" s="89" t="s">
        <v>2478</v>
      </c>
      <c r="C1926" s="88" t="s">
        <v>0</v>
      </c>
      <c r="D1926" s="89"/>
      <c r="E1926" s="91">
        <v>111496</v>
      </c>
      <c r="F1926" s="88">
        <v>7</v>
      </c>
      <c r="G1926" s="89" t="s">
        <v>2452</v>
      </c>
      <c r="H1926" s="89" t="s">
        <v>2453</v>
      </c>
      <c r="I1926" s="89" t="s">
        <v>1041</v>
      </c>
      <c r="J1926" s="89" t="s">
        <v>2454</v>
      </c>
      <c r="K1926" s="89" t="s">
        <v>6473</v>
      </c>
    </row>
    <row r="1927" spans="1:11" ht="71.25" x14ac:dyDescent="0.25">
      <c r="A1927" s="88">
        <v>108</v>
      </c>
      <c r="B1927" s="89" t="s">
        <v>2478</v>
      </c>
      <c r="C1927" s="88" t="s">
        <v>0</v>
      </c>
      <c r="D1927" s="89"/>
      <c r="E1927" s="91">
        <v>88504</v>
      </c>
      <c r="F1927" s="88">
        <v>7</v>
      </c>
      <c r="G1927" s="89" t="s">
        <v>2452</v>
      </c>
      <c r="H1927" s="89" t="s">
        <v>2453</v>
      </c>
      <c r="I1927" s="89" t="s">
        <v>1041</v>
      </c>
      <c r="J1927" s="89" t="s">
        <v>2454</v>
      </c>
      <c r="K1927" s="89" t="str">
        <f>"00047872"</f>
        <v>00047872</v>
      </c>
    </row>
    <row r="1928" spans="1:11" ht="42.75" x14ac:dyDescent="0.25">
      <c r="A1928" s="88">
        <v>108</v>
      </c>
      <c r="B1928" s="89" t="s">
        <v>3806</v>
      </c>
      <c r="C1928" s="88" t="s">
        <v>0</v>
      </c>
      <c r="D1928" s="89"/>
      <c r="E1928" s="91">
        <v>91072</v>
      </c>
      <c r="F1928" s="88">
        <v>7</v>
      </c>
      <c r="G1928" s="89" t="s">
        <v>3807</v>
      </c>
      <c r="H1928" s="89" t="s">
        <v>3808</v>
      </c>
      <c r="I1928" s="89" t="s">
        <v>185</v>
      </c>
      <c r="J1928" s="89" t="s">
        <v>270</v>
      </c>
      <c r="K1928" s="89" t="s">
        <v>6474</v>
      </c>
    </row>
    <row r="1929" spans="1:11" x14ac:dyDescent="0.25">
      <c r="A1929" s="88">
        <v>108</v>
      </c>
      <c r="B1929" s="89" t="s">
        <v>883</v>
      </c>
      <c r="C1929" s="88" t="s">
        <v>0</v>
      </c>
      <c r="D1929" s="94">
        <v>43772</v>
      </c>
      <c r="E1929" s="28"/>
      <c r="F1929" s="88">
        <v>7</v>
      </c>
      <c r="G1929" s="89" t="s">
        <v>889</v>
      </c>
      <c r="H1929" s="89"/>
      <c r="I1929" s="89" t="s">
        <v>885</v>
      </c>
      <c r="J1929" s="89"/>
      <c r="K1929" s="89" t="str">
        <f>"　"</f>
        <v>　</v>
      </c>
    </row>
    <row r="1930" spans="1:11" ht="42.75" x14ac:dyDescent="0.25">
      <c r="A1930" s="88">
        <v>108</v>
      </c>
      <c r="B1930" s="89" t="s">
        <v>883</v>
      </c>
      <c r="C1930" s="88" t="s">
        <v>0</v>
      </c>
      <c r="D1930" s="89"/>
      <c r="E1930" s="91">
        <v>43772</v>
      </c>
      <c r="F1930" s="88">
        <v>7</v>
      </c>
      <c r="G1930" s="89" t="s">
        <v>2552</v>
      </c>
      <c r="H1930" s="89" t="s">
        <v>2553</v>
      </c>
      <c r="I1930" s="89" t="s">
        <v>237</v>
      </c>
      <c r="J1930" s="89" t="s">
        <v>338</v>
      </c>
      <c r="K1930" s="89" t="str">
        <f>"00051236"</f>
        <v>00051236</v>
      </c>
    </row>
    <row r="1931" spans="1:11" ht="28.5" x14ac:dyDescent="0.25">
      <c r="A1931" s="88">
        <v>108</v>
      </c>
      <c r="B1931" s="89" t="s">
        <v>883</v>
      </c>
      <c r="C1931" s="88" t="s">
        <v>0</v>
      </c>
      <c r="D1931" s="94">
        <v>43200</v>
      </c>
      <c r="E1931" s="28"/>
      <c r="F1931" s="88">
        <v>7</v>
      </c>
      <c r="G1931" s="89" t="s">
        <v>892</v>
      </c>
      <c r="H1931" s="89"/>
      <c r="I1931" s="89" t="s">
        <v>885</v>
      </c>
      <c r="J1931" s="89"/>
      <c r="K1931" s="89" t="str">
        <f>"　"</f>
        <v>　</v>
      </c>
    </row>
    <row r="1932" spans="1:11" ht="42.75" x14ac:dyDescent="0.25">
      <c r="A1932" s="88">
        <v>108</v>
      </c>
      <c r="B1932" s="89" t="s">
        <v>883</v>
      </c>
      <c r="C1932" s="88" t="s">
        <v>0</v>
      </c>
      <c r="D1932" s="89"/>
      <c r="E1932" s="91">
        <v>43200</v>
      </c>
      <c r="F1932" s="88">
        <v>7</v>
      </c>
      <c r="G1932" s="89" t="s">
        <v>907</v>
      </c>
      <c r="H1932" s="89" t="s">
        <v>908</v>
      </c>
      <c r="I1932" s="89" t="s">
        <v>32</v>
      </c>
      <c r="J1932" s="89" t="s">
        <v>169</v>
      </c>
      <c r="K1932" s="89" t="str">
        <f>"00048006"</f>
        <v>00048006</v>
      </c>
    </row>
    <row r="1933" spans="1:11" ht="28.5" x14ac:dyDescent="0.25">
      <c r="A1933" s="88">
        <v>108</v>
      </c>
      <c r="B1933" s="89" t="s">
        <v>12</v>
      </c>
      <c r="C1933" s="88" t="s">
        <v>0</v>
      </c>
      <c r="D1933" s="91">
        <v>30090000</v>
      </c>
      <c r="E1933" s="28"/>
      <c r="F1933" s="88">
        <v>7</v>
      </c>
      <c r="G1933" s="89" t="s">
        <v>52</v>
      </c>
      <c r="H1933" s="89"/>
      <c r="I1933" s="89" t="s">
        <v>921</v>
      </c>
      <c r="J1933" s="89"/>
      <c r="K1933" s="89" t="str">
        <f>"　"</f>
        <v>　</v>
      </c>
    </row>
    <row r="1934" spans="1:11" ht="114" x14ac:dyDescent="0.25">
      <c r="A1934" s="88">
        <v>108</v>
      </c>
      <c r="B1934" s="89" t="s">
        <v>513</v>
      </c>
      <c r="C1934" s="88" t="s">
        <v>0</v>
      </c>
      <c r="D1934" s="89"/>
      <c r="E1934" s="91">
        <v>30121</v>
      </c>
      <c r="F1934" s="88">
        <v>7</v>
      </c>
      <c r="G1934" s="89" t="s">
        <v>2526</v>
      </c>
      <c r="H1934" s="89" t="s">
        <v>1990</v>
      </c>
      <c r="I1934" s="89" t="s">
        <v>32</v>
      </c>
      <c r="J1934" s="89" t="s">
        <v>1991</v>
      </c>
      <c r="K1934" s="89" t="str">
        <f>"00050294"</f>
        <v>00050294</v>
      </c>
    </row>
    <row r="1935" spans="1:11" ht="57" x14ac:dyDescent="0.25">
      <c r="A1935" s="88">
        <v>108</v>
      </c>
      <c r="B1935" s="89" t="s">
        <v>4671</v>
      </c>
      <c r="C1935" s="88" t="s">
        <v>0</v>
      </c>
      <c r="D1935" s="89"/>
      <c r="E1935" s="91">
        <v>50000</v>
      </c>
      <c r="F1935" s="88">
        <v>7</v>
      </c>
      <c r="G1935" s="89" t="s">
        <v>4671</v>
      </c>
      <c r="H1935" s="89" t="s">
        <v>4672</v>
      </c>
      <c r="I1935" s="89" t="s">
        <v>66</v>
      </c>
      <c r="J1935" s="89" t="s">
        <v>4673</v>
      </c>
      <c r="K1935" s="89" t="str">
        <f>"00047120"</f>
        <v>00047120</v>
      </c>
    </row>
    <row r="1936" spans="1:11" ht="42.75" x14ac:dyDescent="0.25">
      <c r="A1936" s="88">
        <v>108</v>
      </c>
      <c r="B1936" s="89" t="s">
        <v>4336</v>
      </c>
      <c r="C1936" s="88" t="s">
        <v>0</v>
      </c>
      <c r="D1936" s="89"/>
      <c r="E1936" s="91">
        <v>119220</v>
      </c>
      <c r="F1936" s="88">
        <v>7</v>
      </c>
      <c r="G1936" s="89" t="s">
        <v>5810</v>
      </c>
      <c r="H1936" s="89" t="s">
        <v>4631</v>
      </c>
      <c r="I1936" s="89" t="s">
        <v>66</v>
      </c>
      <c r="J1936" s="89" t="s">
        <v>4632</v>
      </c>
      <c r="K1936" s="89" t="str">
        <f>"00050622"</f>
        <v>00050622</v>
      </c>
    </row>
    <row r="1937" spans="1:11" x14ac:dyDescent="0.25">
      <c r="A1937" s="88">
        <v>108</v>
      </c>
      <c r="B1937" s="89" t="s">
        <v>883</v>
      </c>
      <c r="C1937" s="88" t="s">
        <v>0</v>
      </c>
      <c r="D1937" s="94">
        <v>49998</v>
      </c>
      <c r="E1937" s="28"/>
      <c r="F1937" s="88">
        <v>7</v>
      </c>
      <c r="G1937" s="89" t="s">
        <v>889</v>
      </c>
      <c r="H1937" s="89"/>
      <c r="I1937" s="89" t="s">
        <v>885</v>
      </c>
      <c r="J1937" s="89"/>
      <c r="K1937" s="89" t="str">
        <f>"　"</f>
        <v>　</v>
      </c>
    </row>
    <row r="1938" spans="1:11" ht="99.75" x14ac:dyDescent="0.25">
      <c r="A1938" s="88">
        <v>108</v>
      </c>
      <c r="B1938" s="89" t="s">
        <v>883</v>
      </c>
      <c r="C1938" s="88" t="s">
        <v>0</v>
      </c>
      <c r="D1938" s="89"/>
      <c r="E1938" s="91">
        <v>49998</v>
      </c>
      <c r="F1938" s="88">
        <v>7</v>
      </c>
      <c r="G1938" s="89" t="s">
        <v>3381</v>
      </c>
      <c r="H1938" s="89" t="s">
        <v>3382</v>
      </c>
      <c r="I1938" s="89" t="s">
        <v>3383</v>
      </c>
      <c r="J1938" s="89" t="s">
        <v>3384</v>
      </c>
      <c r="K1938" s="89" t="str">
        <f>"00049460"</f>
        <v>00049460</v>
      </c>
    </row>
    <row r="1939" spans="1:11" ht="28.5" x14ac:dyDescent="0.25">
      <c r="A1939" s="88">
        <v>108</v>
      </c>
      <c r="B1939" s="89" t="s">
        <v>883</v>
      </c>
      <c r="C1939" s="88" t="s">
        <v>0</v>
      </c>
      <c r="D1939" s="94">
        <v>51648</v>
      </c>
      <c r="E1939" s="28"/>
      <c r="F1939" s="88">
        <v>7</v>
      </c>
      <c r="G1939" s="89" t="s">
        <v>892</v>
      </c>
      <c r="H1939" s="89"/>
      <c r="I1939" s="89" t="s">
        <v>885</v>
      </c>
      <c r="J1939" s="89"/>
      <c r="K1939" s="89" t="str">
        <f>"　"</f>
        <v>　</v>
      </c>
    </row>
    <row r="1940" spans="1:11" ht="99.75" x14ac:dyDescent="0.25">
      <c r="A1940" s="88">
        <v>108</v>
      </c>
      <c r="B1940" s="89" t="s">
        <v>883</v>
      </c>
      <c r="C1940" s="88" t="s">
        <v>0</v>
      </c>
      <c r="D1940" s="89"/>
      <c r="E1940" s="91">
        <v>51648</v>
      </c>
      <c r="F1940" s="88">
        <v>7</v>
      </c>
      <c r="G1940" s="89" t="s">
        <v>910</v>
      </c>
      <c r="H1940" s="89" t="s">
        <v>911</v>
      </c>
      <c r="I1940" s="89" t="s">
        <v>763</v>
      </c>
      <c r="J1940" s="89" t="s">
        <v>912</v>
      </c>
      <c r="K1940" s="89" t="str">
        <f>"00048193"</f>
        <v>00048193</v>
      </c>
    </row>
    <row r="1941" spans="1:11" ht="28.5" x14ac:dyDescent="0.25">
      <c r="A1941" s="88">
        <v>108</v>
      </c>
      <c r="B1941" s="89" t="s">
        <v>12</v>
      </c>
      <c r="C1941" s="88" t="s">
        <v>0</v>
      </c>
      <c r="D1941" s="91">
        <v>30090000</v>
      </c>
      <c r="E1941" s="28"/>
      <c r="F1941" s="88">
        <v>7</v>
      </c>
      <c r="G1941" s="89" t="s">
        <v>52</v>
      </c>
      <c r="H1941" s="89"/>
      <c r="I1941" s="89" t="s">
        <v>921</v>
      </c>
      <c r="J1941" s="89"/>
      <c r="K1941" s="89" t="str">
        <f>"　"</f>
        <v>　</v>
      </c>
    </row>
    <row r="1942" spans="1:11" ht="57" x14ac:dyDescent="0.25">
      <c r="A1942" s="88">
        <v>108</v>
      </c>
      <c r="B1942" s="89" t="s">
        <v>612</v>
      </c>
      <c r="C1942" s="88" t="s">
        <v>0</v>
      </c>
      <c r="D1942" s="89"/>
      <c r="E1942" s="91">
        <v>77901</v>
      </c>
      <c r="F1942" s="88">
        <v>7</v>
      </c>
      <c r="G1942" s="89" t="s">
        <v>3881</v>
      </c>
      <c r="H1942" s="89" t="s">
        <v>1845</v>
      </c>
      <c r="I1942" s="89" t="s">
        <v>763</v>
      </c>
      <c r="J1942" s="89" t="s">
        <v>3875</v>
      </c>
      <c r="K1942" s="89" t="str">
        <f>"00049340"</f>
        <v>00049340</v>
      </c>
    </row>
    <row r="1943" spans="1:11" ht="57" x14ac:dyDescent="0.25">
      <c r="A1943" s="88">
        <v>108</v>
      </c>
      <c r="B1943" s="89" t="s">
        <v>603</v>
      </c>
      <c r="C1943" s="88" t="s">
        <v>0</v>
      </c>
      <c r="D1943" s="89"/>
      <c r="E1943" s="91">
        <v>93920</v>
      </c>
      <c r="F1943" s="88">
        <v>7</v>
      </c>
      <c r="G1943" s="89" t="s">
        <v>3879</v>
      </c>
      <c r="H1943" s="89" t="s">
        <v>3880</v>
      </c>
      <c r="I1943" s="89" t="s">
        <v>1582</v>
      </c>
      <c r="J1943" s="89" t="s">
        <v>1583</v>
      </c>
      <c r="K1943" s="89" t="str">
        <f>"00048795"</f>
        <v>00048795</v>
      </c>
    </row>
    <row r="1944" spans="1:11" ht="99.75" x14ac:dyDescent="0.25">
      <c r="A1944" s="88">
        <v>108</v>
      </c>
      <c r="B1944" s="89" t="s">
        <v>636</v>
      </c>
      <c r="C1944" s="88" t="s">
        <v>0</v>
      </c>
      <c r="D1944" s="89"/>
      <c r="E1944" s="91">
        <v>38197</v>
      </c>
      <c r="F1944" s="88">
        <v>7</v>
      </c>
      <c r="G1944" s="89" t="s">
        <v>3882</v>
      </c>
      <c r="H1944" s="89" t="s">
        <v>802</v>
      </c>
      <c r="I1944" s="89" t="s">
        <v>32</v>
      </c>
      <c r="J1944" s="89" t="s">
        <v>3883</v>
      </c>
      <c r="K1944" s="89" t="str">
        <f>"00049262"</f>
        <v>00049262</v>
      </c>
    </row>
    <row r="1945" spans="1:11" ht="57" x14ac:dyDescent="0.25">
      <c r="A1945" s="88">
        <v>108</v>
      </c>
      <c r="B1945" s="89" t="s">
        <v>631</v>
      </c>
      <c r="C1945" s="88" t="s">
        <v>0</v>
      </c>
      <c r="D1945" s="89"/>
      <c r="E1945" s="91">
        <v>77241</v>
      </c>
      <c r="F1945" s="88">
        <v>7</v>
      </c>
      <c r="G1945" s="89" t="s">
        <v>3873</v>
      </c>
      <c r="H1945" s="89" t="s">
        <v>3874</v>
      </c>
      <c r="I1945" s="89" t="s">
        <v>763</v>
      </c>
      <c r="J1945" s="89" t="s">
        <v>3875</v>
      </c>
      <c r="K1945" s="89" t="str">
        <f>"00049566"</f>
        <v>00049566</v>
      </c>
    </row>
    <row r="1946" spans="1:11" ht="42.75" x14ac:dyDescent="0.25">
      <c r="A1946" s="88">
        <v>108</v>
      </c>
      <c r="B1946" s="89" t="s">
        <v>597</v>
      </c>
      <c r="C1946" s="88" t="s">
        <v>0</v>
      </c>
      <c r="D1946" s="89"/>
      <c r="E1946" s="91">
        <v>74276</v>
      </c>
      <c r="F1946" s="88">
        <v>7</v>
      </c>
      <c r="G1946" s="89" t="s">
        <v>3876</v>
      </c>
      <c r="H1946" s="89" t="s">
        <v>3877</v>
      </c>
      <c r="I1946" s="89" t="s">
        <v>161</v>
      </c>
      <c r="J1946" s="89" t="s">
        <v>3878</v>
      </c>
      <c r="K1946" s="89" t="str">
        <f>"00049433"</f>
        <v>00049433</v>
      </c>
    </row>
    <row r="1947" spans="1:11" ht="42.75" x14ac:dyDescent="0.25">
      <c r="A1947" s="88">
        <v>108</v>
      </c>
      <c r="B1947" s="89" t="s">
        <v>1242</v>
      </c>
      <c r="C1947" s="88" t="s">
        <v>0</v>
      </c>
      <c r="D1947" s="89"/>
      <c r="E1947" s="91">
        <v>88342</v>
      </c>
      <c r="F1947" s="88">
        <v>7</v>
      </c>
      <c r="G1947" s="89" t="s">
        <v>3871</v>
      </c>
      <c r="H1947" s="89" t="s">
        <v>3872</v>
      </c>
      <c r="I1947" s="89" t="s">
        <v>237</v>
      </c>
      <c r="J1947" s="89" t="s">
        <v>1715</v>
      </c>
      <c r="K1947" s="89" t="str">
        <f>"00049562"</f>
        <v>00049562</v>
      </c>
    </row>
    <row r="1948" spans="1:11" ht="42.75" x14ac:dyDescent="0.25">
      <c r="A1948" s="88">
        <v>108</v>
      </c>
      <c r="B1948" s="89" t="s">
        <v>2770</v>
      </c>
      <c r="C1948" s="88" t="s">
        <v>0</v>
      </c>
      <c r="D1948" s="89"/>
      <c r="E1948" s="91">
        <v>64181</v>
      </c>
      <c r="F1948" s="88">
        <v>7</v>
      </c>
      <c r="G1948" s="89" t="s">
        <v>3868</v>
      </c>
      <c r="H1948" s="89" t="s">
        <v>3869</v>
      </c>
      <c r="I1948" s="89" t="s">
        <v>225</v>
      </c>
      <c r="J1948" s="89" t="s">
        <v>2773</v>
      </c>
      <c r="K1948" s="89" t="str">
        <f>"00049103"</f>
        <v>00049103</v>
      </c>
    </row>
    <row r="1949" spans="1:11" ht="42.75" x14ac:dyDescent="0.25">
      <c r="A1949" s="88">
        <v>108</v>
      </c>
      <c r="B1949" s="89" t="s">
        <v>600</v>
      </c>
      <c r="C1949" s="88" t="s">
        <v>0</v>
      </c>
      <c r="D1949" s="89"/>
      <c r="E1949" s="91">
        <v>64366</v>
      </c>
      <c r="F1949" s="88">
        <v>7</v>
      </c>
      <c r="G1949" s="89" t="s">
        <v>3859</v>
      </c>
      <c r="H1949" s="89" t="s">
        <v>3860</v>
      </c>
      <c r="I1949" s="89" t="s">
        <v>66</v>
      </c>
      <c r="J1949" s="89" t="s">
        <v>3861</v>
      </c>
      <c r="K1949" s="89" t="str">
        <f>"00049911"</f>
        <v>00049911</v>
      </c>
    </row>
    <row r="1950" spans="1:11" ht="57" x14ac:dyDescent="0.25">
      <c r="A1950" s="88">
        <v>108</v>
      </c>
      <c r="B1950" s="89" t="s">
        <v>3901</v>
      </c>
      <c r="C1950" s="88" t="s">
        <v>0</v>
      </c>
      <c r="D1950" s="89"/>
      <c r="E1950" s="91">
        <v>81379</v>
      </c>
      <c r="F1950" s="88">
        <v>7</v>
      </c>
      <c r="G1950" s="89" t="s">
        <v>3899</v>
      </c>
      <c r="H1950" s="89" t="s">
        <v>3932</v>
      </c>
      <c r="I1950" s="89" t="s">
        <v>32</v>
      </c>
      <c r="J1950" s="89" t="s">
        <v>57</v>
      </c>
      <c r="K1950" s="89" t="str">
        <f>"00050516"</f>
        <v>00050516</v>
      </c>
    </row>
    <row r="1951" spans="1:11" ht="42.75" x14ac:dyDescent="0.25">
      <c r="A1951" s="88">
        <v>108</v>
      </c>
      <c r="B1951" s="89" t="s">
        <v>631</v>
      </c>
      <c r="C1951" s="88" t="s">
        <v>0</v>
      </c>
      <c r="D1951" s="89"/>
      <c r="E1951" s="91">
        <v>131357</v>
      </c>
      <c r="F1951" s="88">
        <v>7</v>
      </c>
      <c r="G1951" s="89" t="s">
        <v>3857</v>
      </c>
      <c r="H1951" s="89" t="s">
        <v>3858</v>
      </c>
      <c r="I1951" s="89" t="s">
        <v>1214</v>
      </c>
      <c r="J1951" s="89" t="s">
        <v>1214</v>
      </c>
      <c r="K1951" s="89" t="str">
        <f>"00048911"</f>
        <v>00048911</v>
      </c>
    </row>
    <row r="1952" spans="1:11" ht="114" x14ac:dyDescent="0.25">
      <c r="A1952" s="88">
        <v>108</v>
      </c>
      <c r="B1952" s="89" t="s">
        <v>2767</v>
      </c>
      <c r="C1952" s="88" t="s">
        <v>0</v>
      </c>
      <c r="D1952" s="89"/>
      <c r="E1952" s="91">
        <v>18574</v>
      </c>
      <c r="F1952" s="88">
        <v>7</v>
      </c>
      <c r="G1952" s="89" t="s">
        <v>3862</v>
      </c>
      <c r="H1952" s="89" t="s">
        <v>3863</v>
      </c>
      <c r="I1952" s="89" t="s">
        <v>32</v>
      </c>
      <c r="J1952" s="89" t="s">
        <v>3864</v>
      </c>
      <c r="K1952" s="89" t="str">
        <f>"00049278"</f>
        <v>00049278</v>
      </c>
    </row>
    <row r="1953" spans="1:11" ht="85.5" x14ac:dyDescent="0.25">
      <c r="A1953" s="88">
        <v>108</v>
      </c>
      <c r="B1953" s="89" t="s">
        <v>631</v>
      </c>
      <c r="C1953" s="88" t="s">
        <v>0</v>
      </c>
      <c r="D1953" s="89"/>
      <c r="E1953" s="91">
        <v>21836</v>
      </c>
      <c r="F1953" s="88">
        <v>7</v>
      </c>
      <c r="G1953" s="89" t="s">
        <v>3855</v>
      </c>
      <c r="H1953" s="89" t="s">
        <v>3856</v>
      </c>
      <c r="I1953" s="89" t="s">
        <v>746</v>
      </c>
      <c r="J1953" s="89" t="s">
        <v>3659</v>
      </c>
      <c r="K1953" s="89" t="str">
        <f>"00049994"</f>
        <v>00049994</v>
      </c>
    </row>
    <row r="1954" spans="1:11" ht="57" x14ac:dyDescent="0.25">
      <c r="A1954" s="88">
        <v>108</v>
      </c>
      <c r="B1954" s="89" t="s">
        <v>606</v>
      </c>
      <c r="C1954" s="88" t="s">
        <v>0</v>
      </c>
      <c r="D1954" s="89"/>
      <c r="E1954" s="91">
        <v>25602</v>
      </c>
      <c r="F1954" s="88">
        <v>7</v>
      </c>
      <c r="G1954" s="89" t="s">
        <v>3929</v>
      </c>
      <c r="H1954" s="89" t="s">
        <v>3930</v>
      </c>
      <c r="I1954" s="89" t="s">
        <v>66</v>
      </c>
      <c r="J1954" s="89" t="s">
        <v>3931</v>
      </c>
      <c r="K1954" s="89" t="str">
        <f>"00050282"</f>
        <v>00050282</v>
      </c>
    </row>
    <row r="1955" spans="1:11" ht="57" x14ac:dyDescent="0.25">
      <c r="A1955" s="88">
        <v>108</v>
      </c>
      <c r="B1955" s="89" t="s">
        <v>3901</v>
      </c>
      <c r="C1955" s="88" t="s">
        <v>0</v>
      </c>
      <c r="D1955" s="89"/>
      <c r="E1955" s="91">
        <v>72011</v>
      </c>
      <c r="F1955" s="88">
        <v>7</v>
      </c>
      <c r="G1955" s="89" t="s">
        <v>3899</v>
      </c>
      <c r="H1955" s="89" t="s">
        <v>2246</v>
      </c>
      <c r="I1955" s="89" t="s">
        <v>32</v>
      </c>
      <c r="J1955" s="89" t="s">
        <v>57</v>
      </c>
      <c r="K1955" s="89" t="str">
        <f>"00050280"</f>
        <v>00050280</v>
      </c>
    </row>
    <row r="1956" spans="1:11" ht="57" x14ac:dyDescent="0.25">
      <c r="A1956" s="88">
        <v>108</v>
      </c>
      <c r="B1956" s="89" t="s">
        <v>3901</v>
      </c>
      <c r="C1956" s="88" t="s">
        <v>0</v>
      </c>
      <c r="D1956" s="89"/>
      <c r="E1956" s="91">
        <v>70092</v>
      </c>
      <c r="F1956" s="88">
        <v>7</v>
      </c>
      <c r="G1956" s="89" t="s">
        <v>3899</v>
      </c>
      <c r="H1956" s="89" t="s">
        <v>2246</v>
      </c>
      <c r="I1956" s="89" t="s">
        <v>32</v>
      </c>
      <c r="J1956" s="89" t="s">
        <v>57</v>
      </c>
      <c r="K1956" s="89" t="str">
        <f>"00050481"</f>
        <v>00050481</v>
      </c>
    </row>
    <row r="1957" spans="1:11" ht="57" x14ac:dyDescent="0.25">
      <c r="A1957" s="88">
        <v>108</v>
      </c>
      <c r="B1957" s="89" t="s">
        <v>3898</v>
      </c>
      <c r="C1957" s="88" t="s">
        <v>0</v>
      </c>
      <c r="D1957" s="89"/>
      <c r="E1957" s="91">
        <v>216871</v>
      </c>
      <c r="F1957" s="88">
        <v>7</v>
      </c>
      <c r="G1957" s="89" t="s">
        <v>3899</v>
      </c>
      <c r="H1957" s="89" t="s">
        <v>3900</v>
      </c>
      <c r="I1957" s="89" t="s">
        <v>32</v>
      </c>
      <c r="J1957" s="89" t="s">
        <v>57</v>
      </c>
      <c r="K1957" s="89" t="str">
        <f>"00050402"</f>
        <v>00050402</v>
      </c>
    </row>
    <row r="1958" spans="1:11" ht="71.25" x14ac:dyDescent="0.25">
      <c r="A1958" s="88">
        <v>108</v>
      </c>
      <c r="B1958" s="89" t="s">
        <v>600</v>
      </c>
      <c r="C1958" s="88" t="s">
        <v>0</v>
      </c>
      <c r="D1958" s="89"/>
      <c r="E1958" s="91">
        <v>1686</v>
      </c>
      <c r="F1958" s="88">
        <v>7</v>
      </c>
      <c r="G1958" s="89" t="s">
        <v>3935</v>
      </c>
      <c r="H1958" s="89" t="s">
        <v>3936</v>
      </c>
      <c r="I1958" s="89" t="s">
        <v>3937</v>
      </c>
      <c r="J1958" s="89" t="s">
        <v>3938</v>
      </c>
      <c r="K1958" s="89" t="str">
        <f>"00050518"</f>
        <v>00050518</v>
      </c>
    </row>
    <row r="1959" spans="1:11" ht="71.25" x14ac:dyDescent="0.25">
      <c r="A1959" s="88">
        <v>108</v>
      </c>
      <c r="B1959" s="89" t="s">
        <v>1242</v>
      </c>
      <c r="C1959" s="88" t="s">
        <v>0</v>
      </c>
      <c r="D1959" s="89"/>
      <c r="E1959" s="91">
        <v>100489</v>
      </c>
      <c r="F1959" s="88">
        <v>7</v>
      </c>
      <c r="G1959" s="89" t="s">
        <v>3933</v>
      </c>
      <c r="H1959" s="89" t="s">
        <v>3934</v>
      </c>
      <c r="I1959" s="89" t="s">
        <v>32</v>
      </c>
      <c r="J1959" s="89" t="s">
        <v>2252</v>
      </c>
      <c r="K1959" s="89" t="str">
        <f>"00050149"</f>
        <v>00050149</v>
      </c>
    </row>
    <row r="1960" spans="1:11" ht="42.75" x14ac:dyDescent="0.25">
      <c r="A1960" s="88">
        <v>108</v>
      </c>
      <c r="B1960" s="89" t="s">
        <v>2806</v>
      </c>
      <c r="C1960" s="88" t="s">
        <v>0</v>
      </c>
      <c r="D1960" s="89"/>
      <c r="E1960" s="91">
        <v>85499</v>
      </c>
      <c r="F1960" s="88">
        <v>7</v>
      </c>
      <c r="G1960" s="89" t="s">
        <v>3939</v>
      </c>
      <c r="H1960" s="89" t="s">
        <v>3940</v>
      </c>
      <c r="I1960" s="89" t="s">
        <v>32</v>
      </c>
      <c r="J1960" s="89" t="s">
        <v>57</v>
      </c>
      <c r="K1960" s="89" t="str">
        <f>"00051183"</f>
        <v>00051183</v>
      </c>
    </row>
    <row r="1961" spans="1:11" ht="42.75" x14ac:dyDescent="0.25">
      <c r="A1961" s="88">
        <v>108</v>
      </c>
      <c r="B1961" s="89" t="s">
        <v>631</v>
      </c>
      <c r="C1961" s="88" t="s">
        <v>0</v>
      </c>
      <c r="D1961" s="89"/>
      <c r="E1961" s="91">
        <v>187403</v>
      </c>
      <c r="F1961" s="88">
        <v>7</v>
      </c>
      <c r="G1961" s="89" t="s">
        <v>3941</v>
      </c>
      <c r="H1961" s="89" t="s">
        <v>3942</v>
      </c>
      <c r="I1961" s="89" t="s">
        <v>1214</v>
      </c>
      <c r="J1961" s="89" t="s">
        <v>1214</v>
      </c>
      <c r="K1961" s="89" t="str">
        <f>"00050281"</f>
        <v>00050281</v>
      </c>
    </row>
    <row r="1962" spans="1:11" ht="42.75" x14ac:dyDescent="0.25">
      <c r="A1962" s="88">
        <v>108</v>
      </c>
      <c r="B1962" s="89" t="s">
        <v>631</v>
      </c>
      <c r="C1962" s="88" t="s">
        <v>0</v>
      </c>
      <c r="D1962" s="89"/>
      <c r="E1962" s="91">
        <v>190551</v>
      </c>
      <c r="F1962" s="88">
        <v>7</v>
      </c>
      <c r="G1962" s="89" t="s">
        <v>3943</v>
      </c>
      <c r="H1962" s="89" t="s">
        <v>3905</v>
      </c>
      <c r="I1962" s="89" t="s">
        <v>1214</v>
      </c>
      <c r="J1962" s="89" t="s">
        <v>1214</v>
      </c>
      <c r="K1962" s="89" t="str">
        <f>"00050599"</f>
        <v>00050599</v>
      </c>
    </row>
    <row r="1963" spans="1:11" ht="57" x14ac:dyDescent="0.25">
      <c r="A1963" s="88">
        <v>108</v>
      </c>
      <c r="B1963" s="89" t="s">
        <v>3901</v>
      </c>
      <c r="C1963" s="88" t="s">
        <v>0</v>
      </c>
      <c r="D1963" s="89"/>
      <c r="E1963" s="91">
        <v>103351</v>
      </c>
      <c r="F1963" s="88">
        <v>7</v>
      </c>
      <c r="G1963" s="89" t="s">
        <v>3899</v>
      </c>
      <c r="H1963" s="89" t="s">
        <v>3932</v>
      </c>
      <c r="I1963" s="89" t="s">
        <v>32</v>
      </c>
      <c r="J1963" s="89" t="s">
        <v>57</v>
      </c>
      <c r="K1963" s="89" t="str">
        <f>"00050403"</f>
        <v>00050403</v>
      </c>
    </row>
    <row r="1964" spans="1:11" ht="85.5" x14ac:dyDescent="0.25">
      <c r="A1964" s="88">
        <v>108</v>
      </c>
      <c r="B1964" s="89" t="s">
        <v>631</v>
      </c>
      <c r="C1964" s="88" t="s">
        <v>0</v>
      </c>
      <c r="D1964" s="89"/>
      <c r="E1964" s="91">
        <v>268063</v>
      </c>
      <c r="F1964" s="88">
        <v>7</v>
      </c>
      <c r="G1964" s="89" t="s">
        <v>3911</v>
      </c>
      <c r="H1964" s="89" t="s">
        <v>3912</v>
      </c>
      <c r="I1964" s="89" t="s">
        <v>3913</v>
      </c>
      <c r="J1964" s="89" t="s">
        <v>3914</v>
      </c>
      <c r="K1964" s="89" t="str">
        <f>"00049952"</f>
        <v>00049952</v>
      </c>
    </row>
    <row r="1965" spans="1:11" ht="57" x14ac:dyDescent="0.25">
      <c r="A1965" s="88">
        <v>108</v>
      </c>
      <c r="B1965" s="89" t="s">
        <v>626</v>
      </c>
      <c r="C1965" s="88" t="s">
        <v>0</v>
      </c>
      <c r="D1965" s="89"/>
      <c r="E1965" s="91">
        <v>89000</v>
      </c>
      <c r="F1965" s="88">
        <v>7</v>
      </c>
      <c r="G1965" s="89" t="s">
        <v>3897</v>
      </c>
      <c r="H1965" s="89" t="s">
        <v>3089</v>
      </c>
      <c r="I1965" s="89" t="s">
        <v>32</v>
      </c>
      <c r="J1965" s="89" t="s">
        <v>118</v>
      </c>
      <c r="K1965" s="89" t="str">
        <f>"00051333"</f>
        <v>00051333</v>
      </c>
    </row>
    <row r="1966" spans="1:11" ht="57" x14ac:dyDescent="0.25">
      <c r="A1966" s="88">
        <v>108</v>
      </c>
      <c r="B1966" s="89" t="s">
        <v>631</v>
      </c>
      <c r="C1966" s="88" t="s">
        <v>0</v>
      </c>
      <c r="D1966" s="89"/>
      <c r="E1966" s="91">
        <v>209776</v>
      </c>
      <c r="F1966" s="88">
        <v>7</v>
      </c>
      <c r="G1966" s="89" t="s">
        <v>3906</v>
      </c>
      <c r="H1966" s="89" t="s">
        <v>3905</v>
      </c>
      <c r="I1966" s="89" t="s">
        <v>1214</v>
      </c>
      <c r="J1966" s="89" t="s">
        <v>1214</v>
      </c>
      <c r="K1966" s="89" t="str">
        <f>"00050600"</f>
        <v>00050600</v>
      </c>
    </row>
    <row r="1967" spans="1:11" ht="57" x14ac:dyDescent="0.25">
      <c r="A1967" s="88">
        <v>108</v>
      </c>
      <c r="B1967" s="89" t="s">
        <v>631</v>
      </c>
      <c r="C1967" s="88" t="s">
        <v>0</v>
      </c>
      <c r="D1967" s="89"/>
      <c r="E1967" s="91">
        <v>203044</v>
      </c>
      <c r="F1967" s="88">
        <v>7</v>
      </c>
      <c r="G1967" s="89" t="s">
        <v>3904</v>
      </c>
      <c r="H1967" s="89" t="s">
        <v>3905</v>
      </c>
      <c r="I1967" s="89" t="s">
        <v>1214</v>
      </c>
      <c r="J1967" s="89" t="s">
        <v>1214</v>
      </c>
      <c r="K1967" s="89" t="str">
        <f>"00050601"</f>
        <v>00050601</v>
      </c>
    </row>
    <row r="1968" spans="1:11" ht="71.25" x14ac:dyDescent="0.25">
      <c r="A1968" s="88">
        <v>108</v>
      </c>
      <c r="B1968" s="89" t="s">
        <v>3907</v>
      </c>
      <c r="C1968" s="88" t="s">
        <v>0</v>
      </c>
      <c r="D1968" s="89"/>
      <c r="E1968" s="91">
        <v>93168</v>
      </c>
      <c r="F1968" s="88">
        <v>7</v>
      </c>
      <c r="G1968" s="89" t="s">
        <v>3908</v>
      </c>
      <c r="H1968" s="89" t="s">
        <v>3909</v>
      </c>
      <c r="I1968" s="89" t="s">
        <v>1315</v>
      </c>
      <c r="J1968" s="89" t="s">
        <v>3910</v>
      </c>
      <c r="K1968" s="89" t="str">
        <f>"00050748"</f>
        <v>00050748</v>
      </c>
    </row>
    <row r="1969" spans="1:11" ht="42.75" x14ac:dyDescent="0.25">
      <c r="A1969" s="88">
        <v>108</v>
      </c>
      <c r="B1969" s="89" t="s">
        <v>2812</v>
      </c>
      <c r="C1969" s="88" t="s">
        <v>0</v>
      </c>
      <c r="D1969" s="89"/>
      <c r="E1969" s="91">
        <v>52048</v>
      </c>
      <c r="F1969" s="88">
        <v>7</v>
      </c>
      <c r="G1969" s="89" t="s">
        <v>3895</v>
      </c>
      <c r="H1969" s="89" t="s">
        <v>3896</v>
      </c>
      <c r="I1969" s="89" t="s">
        <v>237</v>
      </c>
      <c r="J1969" s="89" t="s">
        <v>1279</v>
      </c>
      <c r="K1969" s="89" t="str">
        <f>"00051694"</f>
        <v>00051694</v>
      </c>
    </row>
    <row r="1970" spans="1:11" ht="57" x14ac:dyDescent="0.25">
      <c r="A1970" s="88">
        <v>108</v>
      </c>
      <c r="B1970" s="89" t="s">
        <v>3901</v>
      </c>
      <c r="C1970" s="88" t="s">
        <v>0</v>
      </c>
      <c r="D1970" s="89"/>
      <c r="E1970" s="91">
        <v>92290</v>
      </c>
      <c r="F1970" s="88">
        <v>7</v>
      </c>
      <c r="G1970" s="89" t="s">
        <v>3899</v>
      </c>
      <c r="H1970" s="89" t="s">
        <v>3900</v>
      </c>
      <c r="I1970" s="89" t="s">
        <v>32</v>
      </c>
      <c r="J1970" s="89" t="s">
        <v>57</v>
      </c>
      <c r="K1970" s="89" t="str">
        <f>"00050404"</f>
        <v>00050404</v>
      </c>
    </row>
    <row r="1971" spans="1:11" ht="57" x14ac:dyDescent="0.25">
      <c r="A1971" s="88">
        <v>108</v>
      </c>
      <c r="B1971" s="89" t="s">
        <v>3898</v>
      </c>
      <c r="C1971" s="88" t="s">
        <v>0</v>
      </c>
      <c r="D1971" s="89"/>
      <c r="E1971" s="91">
        <v>73396</v>
      </c>
      <c r="F1971" s="88">
        <v>7</v>
      </c>
      <c r="G1971" s="89" t="s">
        <v>3899</v>
      </c>
      <c r="H1971" s="89" t="s">
        <v>3900</v>
      </c>
      <c r="I1971" s="89" t="s">
        <v>32</v>
      </c>
      <c r="J1971" s="89" t="s">
        <v>57</v>
      </c>
      <c r="K1971" s="89" t="str">
        <f>"00050404"</f>
        <v>00050404</v>
      </c>
    </row>
    <row r="1972" spans="1:11" ht="99.75" x14ac:dyDescent="0.25">
      <c r="A1972" s="88">
        <v>108</v>
      </c>
      <c r="B1972" s="89" t="s">
        <v>1242</v>
      </c>
      <c r="C1972" s="88" t="s">
        <v>0</v>
      </c>
      <c r="D1972" s="89"/>
      <c r="E1972" s="91">
        <v>139373</v>
      </c>
      <c r="F1972" s="88">
        <v>7</v>
      </c>
      <c r="G1972" s="89" t="s">
        <v>3884</v>
      </c>
      <c r="H1972" s="89" t="s">
        <v>3885</v>
      </c>
      <c r="I1972" s="89" t="s">
        <v>32</v>
      </c>
      <c r="J1972" s="89" t="s">
        <v>3886</v>
      </c>
      <c r="K1972" s="89" t="str">
        <f>"00049922"</f>
        <v>00049922</v>
      </c>
    </row>
    <row r="1973" spans="1:11" ht="57" x14ac:dyDescent="0.25">
      <c r="A1973" s="88">
        <v>108</v>
      </c>
      <c r="B1973" s="89" t="s">
        <v>2812</v>
      </c>
      <c r="C1973" s="88" t="s">
        <v>0</v>
      </c>
      <c r="D1973" s="89"/>
      <c r="E1973" s="91">
        <v>76970</v>
      </c>
      <c r="F1973" s="88">
        <v>7</v>
      </c>
      <c r="G1973" s="89" t="s">
        <v>3902</v>
      </c>
      <c r="H1973" s="89" t="s">
        <v>1949</v>
      </c>
      <c r="I1973" s="89" t="s">
        <v>161</v>
      </c>
      <c r="J1973" s="89" t="s">
        <v>3903</v>
      </c>
      <c r="K1973" s="89" t="str">
        <f>"00051591"</f>
        <v>00051591</v>
      </c>
    </row>
    <row r="1974" spans="1:11" ht="42.75" x14ac:dyDescent="0.25">
      <c r="A1974" s="88">
        <v>108</v>
      </c>
      <c r="B1974" s="89" t="s">
        <v>3887</v>
      </c>
      <c r="C1974" s="88" t="s">
        <v>0</v>
      </c>
      <c r="D1974" s="89"/>
      <c r="E1974" s="91">
        <v>50956</v>
      </c>
      <c r="F1974" s="88">
        <v>7</v>
      </c>
      <c r="G1974" s="89" t="s">
        <v>3888</v>
      </c>
      <c r="H1974" s="89" t="s">
        <v>3889</v>
      </c>
      <c r="I1974" s="89" t="s">
        <v>61</v>
      </c>
      <c r="J1974" s="89" t="s">
        <v>630</v>
      </c>
      <c r="K1974" s="89" t="str">
        <f>"00052100"</f>
        <v>00052100</v>
      </c>
    </row>
    <row r="1975" spans="1:11" ht="71.25" x14ac:dyDescent="0.25">
      <c r="A1975" s="88">
        <v>108</v>
      </c>
      <c r="B1975" s="89" t="s">
        <v>2812</v>
      </c>
      <c r="C1975" s="88" t="s">
        <v>0</v>
      </c>
      <c r="D1975" s="89"/>
      <c r="E1975" s="91">
        <v>129201</v>
      </c>
      <c r="F1975" s="88">
        <v>7</v>
      </c>
      <c r="G1975" s="89" t="s">
        <v>3890</v>
      </c>
      <c r="H1975" s="89" t="s">
        <v>3891</v>
      </c>
      <c r="I1975" s="89" t="s">
        <v>32</v>
      </c>
      <c r="J1975" s="89" t="s">
        <v>3892</v>
      </c>
      <c r="K1975" s="89" t="str">
        <f>"00052176"</f>
        <v>00052176</v>
      </c>
    </row>
    <row r="1976" spans="1:11" ht="71.25" x14ac:dyDescent="0.25">
      <c r="A1976" s="88">
        <v>108</v>
      </c>
      <c r="B1976" s="89" t="s">
        <v>2812</v>
      </c>
      <c r="C1976" s="88" t="s">
        <v>0</v>
      </c>
      <c r="D1976" s="89"/>
      <c r="E1976" s="91">
        <v>72323</v>
      </c>
      <c r="F1976" s="88">
        <v>7</v>
      </c>
      <c r="G1976" s="89" t="s">
        <v>3893</v>
      </c>
      <c r="H1976" s="89" t="s">
        <v>3894</v>
      </c>
      <c r="I1976" s="89" t="s">
        <v>32</v>
      </c>
      <c r="J1976" s="89" t="s">
        <v>3892</v>
      </c>
      <c r="K1976" s="89" t="str">
        <f>"00052363"</f>
        <v>00052363</v>
      </c>
    </row>
    <row r="1977" spans="1:11" ht="71.25" x14ac:dyDescent="0.25">
      <c r="A1977" s="88">
        <v>108</v>
      </c>
      <c r="B1977" s="89" t="s">
        <v>2812</v>
      </c>
      <c r="C1977" s="88" t="s">
        <v>0</v>
      </c>
      <c r="D1977" s="89"/>
      <c r="E1977" s="91">
        <v>112164</v>
      </c>
      <c r="F1977" s="88">
        <v>7</v>
      </c>
      <c r="G1977" s="89" t="s">
        <v>3890</v>
      </c>
      <c r="H1977" s="89" t="s">
        <v>2048</v>
      </c>
      <c r="I1977" s="89" t="s">
        <v>32</v>
      </c>
      <c r="J1977" s="89" t="s">
        <v>3892</v>
      </c>
      <c r="K1977" s="89" t="str">
        <f>"00052172"</f>
        <v>00052172</v>
      </c>
    </row>
    <row r="1978" spans="1:11" ht="57" x14ac:dyDescent="0.25">
      <c r="A1978" s="88">
        <v>108</v>
      </c>
      <c r="B1978" s="89" t="s">
        <v>631</v>
      </c>
      <c r="C1978" s="88" t="s">
        <v>0</v>
      </c>
      <c r="D1978" s="89"/>
      <c r="E1978" s="91">
        <v>77729</v>
      </c>
      <c r="F1978" s="88">
        <v>7</v>
      </c>
      <c r="G1978" s="89" t="s">
        <v>1269</v>
      </c>
      <c r="H1978" s="89" t="s">
        <v>879</v>
      </c>
      <c r="I1978" s="89" t="s">
        <v>1270</v>
      </c>
      <c r="J1978" s="89" t="s">
        <v>1271</v>
      </c>
      <c r="K1978" s="89" t="str">
        <f>"00046396"</f>
        <v>00046396</v>
      </c>
    </row>
    <row r="1979" spans="1:11" ht="57" x14ac:dyDescent="0.25">
      <c r="A1979" s="88">
        <v>108</v>
      </c>
      <c r="B1979" s="89" t="s">
        <v>631</v>
      </c>
      <c r="C1979" s="88" t="s">
        <v>0</v>
      </c>
      <c r="D1979" s="89"/>
      <c r="E1979" s="91">
        <v>74488</v>
      </c>
      <c r="F1979" s="88">
        <v>7</v>
      </c>
      <c r="G1979" s="89" t="s">
        <v>1287</v>
      </c>
      <c r="H1979" s="89" t="s">
        <v>244</v>
      </c>
      <c r="I1979" s="89" t="s">
        <v>237</v>
      </c>
      <c r="J1979" s="89" t="s">
        <v>1204</v>
      </c>
      <c r="K1979" s="89" t="str">
        <f>"00046749"</f>
        <v>00046749</v>
      </c>
    </row>
    <row r="1980" spans="1:11" ht="57" x14ac:dyDescent="0.25">
      <c r="A1980" s="88">
        <v>108</v>
      </c>
      <c r="B1980" s="89" t="s">
        <v>631</v>
      </c>
      <c r="C1980" s="88" t="s">
        <v>0</v>
      </c>
      <c r="D1980" s="89"/>
      <c r="E1980" s="91">
        <v>61829</v>
      </c>
      <c r="F1980" s="88">
        <v>7</v>
      </c>
      <c r="G1980" s="89" t="s">
        <v>1269</v>
      </c>
      <c r="H1980" s="89" t="s">
        <v>1296</v>
      </c>
      <c r="I1980" s="89" t="s">
        <v>1270</v>
      </c>
      <c r="J1980" s="89" t="s">
        <v>1271</v>
      </c>
      <c r="K1980" s="89" t="str">
        <f>"00046384"</f>
        <v>00046384</v>
      </c>
    </row>
    <row r="1981" spans="1:11" ht="57" x14ac:dyDescent="0.25">
      <c r="A1981" s="88">
        <v>108</v>
      </c>
      <c r="B1981" s="89" t="s">
        <v>631</v>
      </c>
      <c r="C1981" s="88" t="s">
        <v>0</v>
      </c>
      <c r="D1981" s="89"/>
      <c r="E1981" s="91">
        <v>65306</v>
      </c>
      <c r="F1981" s="88">
        <v>7</v>
      </c>
      <c r="G1981" s="89" t="s">
        <v>1269</v>
      </c>
      <c r="H1981" s="89" t="s">
        <v>1288</v>
      </c>
      <c r="I1981" s="89" t="s">
        <v>1270</v>
      </c>
      <c r="J1981" s="89" t="s">
        <v>1271</v>
      </c>
      <c r="K1981" s="89" t="str">
        <f>"00046382"</f>
        <v>00046382</v>
      </c>
    </row>
    <row r="1982" spans="1:11" ht="57" x14ac:dyDescent="0.25">
      <c r="A1982" s="88">
        <v>108</v>
      </c>
      <c r="B1982" s="89" t="s">
        <v>631</v>
      </c>
      <c r="C1982" s="88" t="s">
        <v>0</v>
      </c>
      <c r="D1982" s="89"/>
      <c r="E1982" s="91">
        <v>60883</v>
      </c>
      <c r="F1982" s="88">
        <v>7</v>
      </c>
      <c r="G1982" s="89" t="s">
        <v>1269</v>
      </c>
      <c r="H1982" s="89" t="s">
        <v>1288</v>
      </c>
      <c r="I1982" s="89" t="s">
        <v>1270</v>
      </c>
      <c r="J1982" s="89" t="s">
        <v>1271</v>
      </c>
      <c r="K1982" s="89" t="str">
        <f>"00046293"</f>
        <v>00046293</v>
      </c>
    </row>
    <row r="1983" spans="1:11" ht="57" x14ac:dyDescent="0.25">
      <c r="A1983" s="88">
        <v>108</v>
      </c>
      <c r="B1983" s="89" t="s">
        <v>1289</v>
      </c>
      <c r="C1983" s="88" t="s">
        <v>0</v>
      </c>
      <c r="D1983" s="89"/>
      <c r="E1983" s="91">
        <v>59843</v>
      </c>
      <c r="F1983" s="88">
        <v>7</v>
      </c>
      <c r="G1983" s="89" t="s">
        <v>1290</v>
      </c>
      <c r="H1983" s="89" t="s">
        <v>1291</v>
      </c>
      <c r="I1983" s="89" t="s">
        <v>94</v>
      </c>
      <c r="J1983" s="89" t="s">
        <v>1292</v>
      </c>
      <c r="K1983" s="89" t="str">
        <f>"00046843"</f>
        <v>00046843</v>
      </c>
    </row>
    <row r="1984" spans="1:11" ht="85.5" x14ac:dyDescent="0.25">
      <c r="A1984" s="88">
        <v>108</v>
      </c>
      <c r="B1984" s="89" t="s">
        <v>606</v>
      </c>
      <c r="C1984" s="88" t="s">
        <v>0</v>
      </c>
      <c r="D1984" s="89"/>
      <c r="E1984" s="91">
        <v>31903</v>
      </c>
      <c r="F1984" s="88">
        <v>7</v>
      </c>
      <c r="G1984" s="89" t="s">
        <v>1266</v>
      </c>
      <c r="H1984" s="89" t="s">
        <v>1267</v>
      </c>
      <c r="I1984" s="89" t="s">
        <v>66</v>
      </c>
      <c r="J1984" s="89" t="s">
        <v>1268</v>
      </c>
      <c r="K1984" s="89" t="str">
        <f>"00046664"</f>
        <v>00046664</v>
      </c>
    </row>
    <row r="1985" spans="1:11" ht="57" x14ac:dyDescent="0.25">
      <c r="A1985" s="88">
        <v>108</v>
      </c>
      <c r="B1985" s="89" t="s">
        <v>1293</v>
      </c>
      <c r="C1985" s="88" t="s">
        <v>0</v>
      </c>
      <c r="D1985" s="89"/>
      <c r="E1985" s="91">
        <v>29885</v>
      </c>
      <c r="F1985" s="88">
        <v>7</v>
      </c>
      <c r="G1985" s="89" t="s">
        <v>1294</v>
      </c>
      <c r="H1985" s="89" t="s">
        <v>1295</v>
      </c>
      <c r="I1985" s="89" t="s">
        <v>66</v>
      </c>
      <c r="J1985" s="89" t="s">
        <v>125</v>
      </c>
      <c r="K1985" s="89" t="str">
        <f>"00046878"</f>
        <v>00046878</v>
      </c>
    </row>
    <row r="1986" spans="1:11" ht="42.75" x14ac:dyDescent="0.25">
      <c r="A1986" s="88">
        <v>108</v>
      </c>
      <c r="B1986" s="89" t="s">
        <v>631</v>
      </c>
      <c r="C1986" s="88" t="s">
        <v>0</v>
      </c>
      <c r="D1986" s="89"/>
      <c r="E1986" s="91">
        <v>218899</v>
      </c>
      <c r="F1986" s="88">
        <v>7</v>
      </c>
      <c r="G1986" s="89" t="s">
        <v>1285</v>
      </c>
      <c r="H1986" s="89" t="s">
        <v>1286</v>
      </c>
      <c r="I1986" s="89" t="s">
        <v>1214</v>
      </c>
      <c r="J1986" s="89" t="s">
        <v>1214</v>
      </c>
      <c r="K1986" s="89" t="str">
        <f>"00047860"</f>
        <v>00047860</v>
      </c>
    </row>
    <row r="1987" spans="1:11" ht="57" x14ac:dyDescent="0.25">
      <c r="A1987" s="88">
        <v>108</v>
      </c>
      <c r="B1987" s="89" t="s">
        <v>631</v>
      </c>
      <c r="C1987" s="88" t="s">
        <v>0</v>
      </c>
      <c r="D1987" s="89"/>
      <c r="E1987" s="91">
        <v>70019</v>
      </c>
      <c r="F1987" s="88">
        <v>7</v>
      </c>
      <c r="G1987" s="89" t="s">
        <v>1269</v>
      </c>
      <c r="H1987" s="89" t="s">
        <v>1288</v>
      </c>
      <c r="I1987" s="89" t="s">
        <v>1270</v>
      </c>
      <c r="J1987" s="89" t="s">
        <v>1271</v>
      </c>
      <c r="K1987" s="89" t="str">
        <f>"00046420"</f>
        <v>00046420</v>
      </c>
    </row>
    <row r="1988" spans="1:11" ht="42.75" x14ac:dyDescent="0.25">
      <c r="A1988" s="88">
        <v>108</v>
      </c>
      <c r="B1988" s="89" t="s">
        <v>1242</v>
      </c>
      <c r="C1988" s="88" t="s">
        <v>0</v>
      </c>
      <c r="D1988" s="89"/>
      <c r="E1988" s="91">
        <v>108225</v>
      </c>
      <c r="F1988" s="88">
        <v>7</v>
      </c>
      <c r="G1988" s="89" t="s">
        <v>1276</v>
      </c>
      <c r="H1988" s="89" t="s">
        <v>1277</v>
      </c>
      <c r="I1988" s="89" t="s">
        <v>1214</v>
      </c>
      <c r="J1988" s="89" t="s">
        <v>1214</v>
      </c>
      <c r="K1988" s="89" t="str">
        <f>"00047681"</f>
        <v>00047681</v>
      </c>
    </row>
    <row r="1989" spans="1:11" ht="42.75" x14ac:dyDescent="0.25">
      <c r="A1989" s="88">
        <v>108</v>
      </c>
      <c r="B1989" s="89" t="s">
        <v>631</v>
      </c>
      <c r="C1989" s="88" t="s">
        <v>0</v>
      </c>
      <c r="D1989" s="89"/>
      <c r="E1989" s="91">
        <v>24399</v>
      </c>
      <c r="F1989" s="88">
        <v>7</v>
      </c>
      <c r="G1989" s="89" t="s">
        <v>1274</v>
      </c>
      <c r="H1989" s="89" t="s">
        <v>1275</v>
      </c>
      <c r="I1989" s="89" t="s">
        <v>66</v>
      </c>
      <c r="J1989" s="89" t="s">
        <v>125</v>
      </c>
      <c r="K1989" s="89" t="str">
        <f>"00048307"</f>
        <v>00048307</v>
      </c>
    </row>
    <row r="1990" spans="1:11" ht="57" x14ac:dyDescent="0.25">
      <c r="A1990" s="88">
        <v>108</v>
      </c>
      <c r="B1990" s="89" t="s">
        <v>1245</v>
      </c>
      <c r="C1990" s="88" t="s">
        <v>0</v>
      </c>
      <c r="D1990" s="89"/>
      <c r="E1990" s="91">
        <v>51697</v>
      </c>
      <c r="F1990" s="88">
        <v>7</v>
      </c>
      <c r="G1990" s="89" t="s">
        <v>1278</v>
      </c>
      <c r="H1990" s="89" t="s">
        <v>1247</v>
      </c>
      <c r="I1990" s="89" t="s">
        <v>237</v>
      </c>
      <c r="J1990" s="89" t="s">
        <v>1279</v>
      </c>
      <c r="K1990" s="89" t="str">
        <f>"00046679"</f>
        <v>00046679</v>
      </c>
    </row>
    <row r="1991" spans="1:11" ht="57" x14ac:dyDescent="0.25">
      <c r="A1991" s="88">
        <v>108</v>
      </c>
      <c r="B1991" s="89" t="s">
        <v>1282</v>
      </c>
      <c r="C1991" s="88" t="s">
        <v>0</v>
      </c>
      <c r="D1991" s="89"/>
      <c r="E1991" s="91">
        <v>13062</v>
      </c>
      <c r="F1991" s="88">
        <v>7</v>
      </c>
      <c r="G1991" s="89" t="s">
        <v>1272</v>
      </c>
      <c r="H1991" s="89" t="s">
        <v>1273</v>
      </c>
      <c r="I1991" s="89" t="s">
        <v>94</v>
      </c>
      <c r="J1991" s="89" t="s">
        <v>355</v>
      </c>
      <c r="K1991" s="89" t="str">
        <f>"00047542"</f>
        <v>00047542</v>
      </c>
    </row>
    <row r="1992" spans="1:11" ht="42.75" x14ac:dyDescent="0.25">
      <c r="A1992" s="88">
        <v>108</v>
      </c>
      <c r="B1992" s="89" t="s">
        <v>631</v>
      </c>
      <c r="C1992" s="88" t="s">
        <v>0</v>
      </c>
      <c r="D1992" s="89"/>
      <c r="E1992" s="91">
        <v>20101</v>
      </c>
      <c r="F1992" s="88">
        <v>7</v>
      </c>
      <c r="G1992" s="89" t="s">
        <v>1272</v>
      </c>
      <c r="H1992" s="89" t="s">
        <v>1273</v>
      </c>
      <c r="I1992" s="89" t="s">
        <v>94</v>
      </c>
      <c r="J1992" s="89" t="s">
        <v>355</v>
      </c>
      <c r="K1992" s="89" t="str">
        <f>"00047541"</f>
        <v>00047541</v>
      </c>
    </row>
    <row r="1993" spans="1:11" ht="57" x14ac:dyDescent="0.25">
      <c r="A1993" s="88">
        <v>108</v>
      </c>
      <c r="B1993" s="89" t="s">
        <v>631</v>
      </c>
      <c r="C1993" s="88" t="s">
        <v>0</v>
      </c>
      <c r="D1993" s="89"/>
      <c r="E1993" s="91">
        <v>189560</v>
      </c>
      <c r="F1993" s="88">
        <v>7</v>
      </c>
      <c r="G1993" s="89" t="s">
        <v>1280</v>
      </c>
      <c r="H1993" s="89" t="s">
        <v>1281</v>
      </c>
      <c r="I1993" s="89" t="s">
        <v>1214</v>
      </c>
      <c r="J1993" s="89" t="s">
        <v>1214</v>
      </c>
      <c r="K1993" s="89" t="str">
        <f>"00047853"</f>
        <v>00047853</v>
      </c>
    </row>
    <row r="1994" spans="1:11" ht="285" x14ac:dyDescent="0.25">
      <c r="A1994" s="88">
        <v>108</v>
      </c>
      <c r="B1994" s="89" t="s">
        <v>597</v>
      </c>
      <c r="C1994" s="88" t="s">
        <v>0</v>
      </c>
      <c r="D1994" s="89"/>
      <c r="E1994" s="91">
        <v>190555</v>
      </c>
      <c r="F1994" s="88">
        <v>7</v>
      </c>
      <c r="G1994" s="89" t="s">
        <v>1227</v>
      </c>
      <c r="H1994" s="89" t="s">
        <v>1228</v>
      </c>
      <c r="I1994" s="89" t="s">
        <v>1229</v>
      </c>
      <c r="J1994" s="89" t="s">
        <v>1230</v>
      </c>
      <c r="K1994" s="89" t="str">
        <f>"00047474"</f>
        <v>00047474</v>
      </c>
    </row>
    <row r="1995" spans="1:11" ht="99.75" x14ac:dyDescent="0.25">
      <c r="A1995" s="88">
        <v>108</v>
      </c>
      <c r="B1995" s="89" t="s">
        <v>631</v>
      </c>
      <c r="C1995" s="88" t="s">
        <v>0</v>
      </c>
      <c r="D1995" s="89"/>
      <c r="E1995" s="91">
        <v>92502</v>
      </c>
      <c r="F1995" s="88">
        <v>7</v>
      </c>
      <c r="G1995" s="89" t="s">
        <v>1231</v>
      </c>
      <c r="H1995" s="89" t="s">
        <v>1232</v>
      </c>
      <c r="I1995" s="89" t="s">
        <v>1233</v>
      </c>
      <c r="J1995" s="89" t="s">
        <v>1234</v>
      </c>
      <c r="K1995" s="89" t="str">
        <f>"00047816"</f>
        <v>00047816</v>
      </c>
    </row>
    <row r="1996" spans="1:11" ht="57" x14ac:dyDescent="0.25">
      <c r="A1996" s="88">
        <v>108</v>
      </c>
      <c r="B1996" s="89" t="s">
        <v>1242</v>
      </c>
      <c r="C1996" s="88" t="s">
        <v>0</v>
      </c>
      <c r="D1996" s="89"/>
      <c r="E1996" s="91">
        <v>85130</v>
      </c>
      <c r="F1996" s="88">
        <v>7</v>
      </c>
      <c r="G1996" s="89" t="s">
        <v>1243</v>
      </c>
      <c r="H1996" s="89" t="s">
        <v>1244</v>
      </c>
      <c r="I1996" s="89" t="s">
        <v>32</v>
      </c>
      <c r="J1996" s="89" t="s">
        <v>36</v>
      </c>
      <c r="K1996" s="89" t="str">
        <f>"00048116"</f>
        <v>00048116</v>
      </c>
    </row>
    <row r="1997" spans="1:11" ht="99.75" x14ac:dyDescent="0.25">
      <c r="A1997" s="88">
        <v>108</v>
      </c>
      <c r="B1997" s="89" t="s">
        <v>1245</v>
      </c>
      <c r="C1997" s="88" t="s">
        <v>0</v>
      </c>
      <c r="D1997" s="89"/>
      <c r="E1997" s="91">
        <v>44097</v>
      </c>
      <c r="F1997" s="88">
        <v>7</v>
      </c>
      <c r="G1997" s="89" t="s">
        <v>1246</v>
      </c>
      <c r="H1997" s="89" t="s">
        <v>1247</v>
      </c>
      <c r="I1997" s="89" t="s">
        <v>1248</v>
      </c>
      <c r="J1997" s="89" t="s">
        <v>1249</v>
      </c>
      <c r="K1997" s="89" t="str">
        <f>"00046574"</f>
        <v>00046574</v>
      </c>
    </row>
    <row r="1998" spans="1:11" ht="71.25" x14ac:dyDescent="0.25">
      <c r="A1998" s="88">
        <v>108</v>
      </c>
      <c r="B1998" s="89" t="s">
        <v>631</v>
      </c>
      <c r="C1998" s="88" t="s">
        <v>0</v>
      </c>
      <c r="D1998" s="89"/>
      <c r="E1998" s="91">
        <v>60000</v>
      </c>
      <c r="F1998" s="88">
        <v>7</v>
      </c>
      <c r="G1998" s="89" t="s">
        <v>1263</v>
      </c>
      <c r="H1998" s="89" t="s">
        <v>1264</v>
      </c>
      <c r="I1998" s="89" t="s">
        <v>17</v>
      </c>
      <c r="J1998" s="89" t="s">
        <v>1265</v>
      </c>
      <c r="K1998" s="89" t="str">
        <f>"00047850"</f>
        <v>00047850</v>
      </c>
    </row>
    <row r="1999" spans="1:11" ht="42.75" x14ac:dyDescent="0.25">
      <c r="A1999" s="88">
        <v>108</v>
      </c>
      <c r="B1999" s="89" t="s">
        <v>631</v>
      </c>
      <c r="C1999" s="88" t="s">
        <v>0</v>
      </c>
      <c r="D1999" s="89"/>
      <c r="E1999" s="91">
        <v>117143</v>
      </c>
      <c r="F1999" s="88">
        <v>7</v>
      </c>
      <c r="G1999" s="89" t="s">
        <v>1283</v>
      </c>
      <c r="H1999" s="89" t="s">
        <v>1284</v>
      </c>
      <c r="I1999" s="89" t="s">
        <v>1214</v>
      </c>
      <c r="J1999" s="89" t="s">
        <v>1214</v>
      </c>
      <c r="K1999" s="89" t="str">
        <f>"00047683"</f>
        <v>00047683</v>
      </c>
    </row>
    <row r="2000" spans="1:11" ht="42.75" x14ac:dyDescent="0.25">
      <c r="A2000" s="88">
        <v>108</v>
      </c>
      <c r="B2000" s="89" t="s">
        <v>631</v>
      </c>
      <c r="C2000" s="88" t="s">
        <v>0</v>
      </c>
      <c r="D2000" s="89"/>
      <c r="E2000" s="91">
        <v>146471</v>
      </c>
      <c r="F2000" s="88">
        <v>7</v>
      </c>
      <c r="G2000" s="89" t="s">
        <v>1261</v>
      </c>
      <c r="H2000" s="89" t="s">
        <v>1262</v>
      </c>
      <c r="I2000" s="89" t="s">
        <v>1214</v>
      </c>
      <c r="J2000" s="89" t="s">
        <v>1214</v>
      </c>
      <c r="K2000" s="89" t="str">
        <f>"00047483"</f>
        <v>00047483</v>
      </c>
    </row>
    <row r="2001" spans="1:11" ht="42.75" x14ac:dyDescent="0.25">
      <c r="A2001" s="88">
        <v>108</v>
      </c>
      <c r="B2001" s="89" t="s">
        <v>1238</v>
      </c>
      <c r="C2001" s="88" t="s">
        <v>0</v>
      </c>
      <c r="D2001" s="89"/>
      <c r="E2001" s="91">
        <v>76395</v>
      </c>
      <c r="F2001" s="88">
        <v>7</v>
      </c>
      <c r="G2001" s="89" t="s">
        <v>1239</v>
      </c>
      <c r="H2001" s="89" t="s">
        <v>1240</v>
      </c>
      <c r="I2001" s="89" t="s">
        <v>32</v>
      </c>
      <c r="J2001" s="89" t="s">
        <v>57</v>
      </c>
      <c r="K2001" s="89" t="str">
        <f>"00047519"</f>
        <v>00047519</v>
      </c>
    </row>
    <row r="2002" spans="1:11" ht="42.75" x14ac:dyDescent="0.25">
      <c r="A2002" s="88">
        <v>108</v>
      </c>
      <c r="B2002" s="89" t="s">
        <v>631</v>
      </c>
      <c r="C2002" s="88" t="s">
        <v>0</v>
      </c>
      <c r="D2002" s="89"/>
      <c r="E2002" s="91">
        <v>130461</v>
      </c>
      <c r="F2002" s="88">
        <v>7</v>
      </c>
      <c r="G2002" s="89" t="s">
        <v>1250</v>
      </c>
      <c r="H2002" s="89" t="s">
        <v>1251</v>
      </c>
      <c r="I2002" s="89" t="s">
        <v>1214</v>
      </c>
      <c r="J2002" s="89" t="s">
        <v>1214</v>
      </c>
      <c r="K2002" s="89" t="str">
        <f>"00047259"</f>
        <v>00047259</v>
      </c>
    </row>
    <row r="2003" spans="1:11" ht="42.75" x14ac:dyDescent="0.25">
      <c r="A2003" s="88">
        <v>108</v>
      </c>
      <c r="B2003" s="89" t="s">
        <v>1238</v>
      </c>
      <c r="C2003" s="88" t="s">
        <v>0</v>
      </c>
      <c r="D2003" s="89"/>
      <c r="E2003" s="91">
        <v>8213</v>
      </c>
      <c r="F2003" s="88">
        <v>7</v>
      </c>
      <c r="G2003" s="89" t="s">
        <v>1252</v>
      </c>
      <c r="H2003" s="89" t="s">
        <v>1253</v>
      </c>
      <c r="I2003" s="89" t="s">
        <v>66</v>
      </c>
      <c r="J2003" s="89" t="s">
        <v>125</v>
      </c>
      <c r="K2003" s="89" t="str">
        <f>"00047887"</f>
        <v>00047887</v>
      </c>
    </row>
    <row r="2004" spans="1:11" ht="57" x14ac:dyDescent="0.25">
      <c r="A2004" s="88">
        <v>108</v>
      </c>
      <c r="B2004" s="89" t="s">
        <v>612</v>
      </c>
      <c r="C2004" s="88" t="s">
        <v>0</v>
      </c>
      <c r="D2004" s="89"/>
      <c r="E2004" s="91">
        <v>69854</v>
      </c>
      <c r="F2004" s="88">
        <v>7</v>
      </c>
      <c r="G2004" s="89" t="s">
        <v>1254</v>
      </c>
      <c r="H2004" s="89" t="s">
        <v>618</v>
      </c>
      <c r="I2004" s="89" t="s">
        <v>17</v>
      </c>
      <c r="J2004" s="89" t="s">
        <v>619</v>
      </c>
      <c r="K2004" s="89" t="str">
        <f>"00047365"</f>
        <v>00047365</v>
      </c>
    </row>
    <row r="2005" spans="1:11" ht="42.75" x14ac:dyDescent="0.25">
      <c r="A2005" s="88">
        <v>108</v>
      </c>
      <c r="B2005" s="89" t="s">
        <v>636</v>
      </c>
      <c r="C2005" s="88" t="s">
        <v>0</v>
      </c>
      <c r="D2005" s="89"/>
      <c r="E2005" s="91">
        <v>36551</v>
      </c>
      <c r="F2005" s="88">
        <v>7</v>
      </c>
      <c r="G2005" s="89" t="s">
        <v>1210</v>
      </c>
      <c r="H2005" s="89" t="s">
        <v>1255</v>
      </c>
      <c r="I2005" s="89" t="s">
        <v>66</v>
      </c>
      <c r="J2005" s="89" t="s">
        <v>125</v>
      </c>
      <c r="K2005" s="89" t="str">
        <f>"00047212"</f>
        <v>00047212</v>
      </c>
    </row>
    <row r="2006" spans="1:11" ht="42.75" x14ac:dyDescent="0.25">
      <c r="A2006" s="88">
        <v>108</v>
      </c>
      <c r="B2006" s="89" t="s">
        <v>631</v>
      </c>
      <c r="C2006" s="88" t="s">
        <v>0</v>
      </c>
      <c r="D2006" s="89"/>
      <c r="E2006" s="91">
        <v>3382</v>
      </c>
      <c r="F2006" s="88">
        <v>7</v>
      </c>
      <c r="G2006" s="89" t="s">
        <v>1252</v>
      </c>
      <c r="H2006" s="89" t="s">
        <v>1256</v>
      </c>
      <c r="I2006" s="89" t="s">
        <v>66</v>
      </c>
      <c r="J2006" s="89" t="s">
        <v>125</v>
      </c>
      <c r="K2006" s="89" t="str">
        <f>"00047848"</f>
        <v>00047848</v>
      </c>
    </row>
    <row r="2007" spans="1:11" ht="71.25" x14ac:dyDescent="0.25">
      <c r="A2007" s="88">
        <v>108</v>
      </c>
      <c r="B2007" s="89" t="s">
        <v>1257</v>
      </c>
      <c r="C2007" s="88" t="s">
        <v>0</v>
      </c>
      <c r="D2007" s="89"/>
      <c r="E2007" s="91">
        <v>51961</v>
      </c>
      <c r="F2007" s="88">
        <v>7</v>
      </c>
      <c r="G2007" s="89" t="s">
        <v>1258</v>
      </c>
      <c r="H2007" s="89" t="s">
        <v>1259</v>
      </c>
      <c r="I2007" s="89" t="s">
        <v>32</v>
      </c>
      <c r="J2007" s="89" t="s">
        <v>1260</v>
      </c>
      <c r="K2007" s="89" t="str">
        <f>"00046806"</f>
        <v>00046806</v>
      </c>
    </row>
    <row r="2008" spans="1:11" ht="42.75" x14ac:dyDescent="0.25">
      <c r="A2008" s="88">
        <v>108</v>
      </c>
      <c r="B2008" s="89" t="s">
        <v>631</v>
      </c>
      <c r="C2008" s="88" t="s">
        <v>0</v>
      </c>
      <c r="D2008" s="89"/>
      <c r="E2008" s="91">
        <v>116031</v>
      </c>
      <c r="F2008" s="88">
        <v>7</v>
      </c>
      <c r="G2008" s="89" t="s">
        <v>1212</v>
      </c>
      <c r="H2008" s="89" t="s">
        <v>1241</v>
      </c>
      <c r="I2008" s="89" t="s">
        <v>1214</v>
      </c>
      <c r="J2008" s="89" t="s">
        <v>1214</v>
      </c>
      <c r="K2008" s="89" t="str">
        <f>"00047127"</f>
        <v>00047127</v>
      </c>
    </row>
    <row r="2009" spans="1:11" ht="57" x14ac:dyDescent="0.25">
      <c r="A2009" s="88">
        <v>108</v>
      </c>
      <c r="B2009" s="89" t="s">
        <v>1209</v>
      </c>
      <c r="C2009" s="88" t="s">
        <v>0</v>
      </c>
      <c r="D2009" s="89"/>
      <c r="E2009" s="91">
        <v>7011</v>
      </c>
      <c r="F2009" s="88">
        <v>7</v>
      </c>
      <c r="G2009" s="89" t="s">
        <v>1210</v>
      </c>
      <c r="H2009" s="89" t="s">
        <v>1211</v>
      </c>
      <c r="I2009" s="89" t="s">
        <v>66</v>
      </c>
      <c r="J2009" s="89" t="s">
        <v>125</v>
      </c>
      <c r="K2009" s="89" t="str">
        <f>"00047005"</f>
        <v>00047005</v>
      </c>
    </row>
    <row r="2010" spans="1:11" ht="57" x14ac:dyDescent="0.25">
      <c r="A2010" s="88">
        <v>108</v>
      </c>
      <c r="B2010" s="89" t="s">
        <v>1209</v>
      </c>
      <c r="C2010" s="88" t="s">
        <v>0</v>
      </c>
      <c r="D2010" s="89"/>
      <c r="E2010" s="91">
        <v>8660</v>
      </c>
      <c r="F2010" s="88">
        <v>7</v>
      </c>
      <c r="G2010" s="89" t="s">
        <v>1210</v>
      </c>
      <c r="H2010" s="89" t="s">
        <v>1211</v>
      </c>
      <c r="I2010" s="89" t="s">
        <v>66</v>
      </c>
      <c r="J2010" s="89" t="s">
        <v>125</v>
      </c>
      <c r="K2010" s="89" t="str">
        <f>"00046990"</f>
        <v>00046990</v>
      </c>
    </row>
    <row r="2011" spans="1:11" ht="42.75" x14ac:dyDescent="0.25">
      <c r="A2011" s="88">
        <v>108</v>
      </c>
      <c r="B2011" s="89" t="s">
        <v>631</v>
      </c>
      <c r="C2011" s="88" t="s">
        <v>0</v>
      </c>
      <c r="D2011" s="89"/>
      <c r="E2011" s="91">
        <v>112626</v>
      </c>
      <c r="F2011" s="88">
        <v>7</v>
      </c>
      <c r="G2011" s="89" t="s">
        <v>1212</v>
      </c>
      <c r="H2011" s="89" t="s">
        <v>1213</v>
      </c>
      <c r="I2011" s="89" t="s">
        <v>1214</v>
      </c>
      <c r="J2011" s="89" t="s">
        <v>1214</v>
      </c>
      <c r="K2011" s="89" t="str">
        <f>"00047093"</f>
        <v>00047093</v>
      </c>
    </row>
    <row r="2012" spans="1:11" ht="99.75" x14ac:dyDescent="0.25">
      <c r="A2012" s="88">
        <v>108</v>
      </c>
      <c r="B2012" s="89" t="s">
        <v>631</v>
      </c>
      <c r="C2012" s="88" t="s">
        <v>0</v>
      </c>
      <c r="D2012" s="89"/>
      <c r="E2012" s="91">
        <v>128189</v>
      </c>
      <c r="F2012" s="88">
        <v>7</v>
      </c>
      <c r="G2012" s="89" t="s">
        <v>1215</v>
      </c>
      <c r="H2012" s="89" t="s">
        <v>1216</v>
      </c>
      <c r="I2012" s="89" t="s">
        <v>1217</v>
      </c>
      <c r="J2012" s="89" t="s">
        <v>1218</v>
      </c>
      <c r="K2012" s="89" t="str">
        <f>"00046043"</f>
        <v>00046043</v>
      </c>
    </row>
    <row r="2013" spans="1:11" ht="199.5" x14ac:dyDescent="0.25">
      <c r="A2013" s="88">
        <v>108</v>
      </c>
      <c r="B2013" s="89" t="s">
        <v>597</v>
      </c>
      <c r="C2013" s="88" t="s">
        <v>0</v>
      </c>
      <c r="D2013" s="89"/>
      <c r="E2013" s="91">
        <v>314800</v>
      </c>
      <c r="F2013" s="88">
        <v>7</v>
      </c>
      <c r="G2013" s="89" t="s">
        <v>1223</v>
      </c>
      <c r="H2013" s="89" t="s">
        <v>1224</v>
      </c>
      <c r="I2013" s="89" t="s">
        <v>1225</v>
      </c>
      <c r="J2013" s="89" t="s">
        <v>1226</v>
      </c>
      <c r="K2013" s="89" t="str">
        <f>"00046917"</f>
        <v>00046917</v>
      </c>
    </row>
    <row r="2014" spans="1:11" ht="42.75" x14ac:dyDescent="0.25">
      <c r="A2014" s="88">
        <v>108</v>
      </c>
      <c r="B2014" s="89" t="s">
        <v>606</v>
      </c>
      <c r="C2014" s="88" t="s">
        <v>0</v>
      </c>
      <c r="D2014" s="89"/>
      <c r="E2014" s="91">
        <v>28600</v>
      </c>
      <c r="F2014" s="88">
        <v>7</v>
      </c>
      <c r="G2014" s="89" t="s">
        <v>1235</v>
      </c>
      <c r="H2014" s="89" t="s">
        <v>1236</v>
      </c>
      <c r="I2014" s="89" t="s">
        <v>66</v>
      </c>
      <c r="J2014" s="89" t="s">
        <v>1237</v>
      </c>
      <c r="K2014" s="89" t="str">
        <f>"00047362"</f>
        <v>00047362</v>
      </c>
    </row>
    <row r="2015" spans="1:11" ht="57" x14ac:dyDescent="0.25">
      <c r="A2015" s="88">
        <v>108</v>
      </c>
      <c r="B2015" s="89" t="s">
        <v>631</v>
      </c>
      <c r="C2015" s="88" t="s">
        <v>0</v>
      </c>
      <c r="D2015" s="89"/>
      <c r="E2015" s="91">
        <v>72315</v>
      </c>
      <c r="F2015" s="88">
        <v>7</v>
      </c>
      <c r="G2015" s="89" t="s">
        <v>1202</v>
      </c>
      <c r="H2015" s="89" t="s">
        <v>1203</v>
      </c>
      <c r="I2015" s="89" t="s">
        <v>237</v>
      </c>
      <c r="J2015" s="89" t="s">
        <v>1204</v>
      </c>
      <c r="K2015" s="89" t="str">
        <f>"00046747"</f>
        <v>00046747</v>
      </c>
    </row>
    <row r="2016" spans="1:11" ht="42.75" x14ac:dyDescent="0.25">
      <c r="A2016" s="88">
        <v>108</v>
      </c>
      <c r="B2016" s="89" t="s">
        <v>606</v>
      </c>
      <c r="C2016" s="88" t="s">
        <v>0</v>
      </c>
      <c r="D2016" s="89"/>
      <c r="E2016" s="91">
        <v>28107</v>
      </c>
      <c r="F2016" s="88">
        <v>7</v>
      </c>
      <c r="G2016" s="89" t="s">
        <v>3915</v>
      </c>
      <c r="H2016" s="89" t="s">
        <v>3916</v>
      </c>
      <c r="I2016" s="89" t="s">
        <v>66</v>
      </c>
      <c r="J2016" s="89" t="s">
        <v>3861</v>
      </c>
      <c r="K2016" s="89" t="str">
        <f>"00048798"</f>
        <v>00048798</v>
      </c>
    </row>
    <row r="2017" spans="1:11" ht="57" x14ac:dyDescent="0.25">
      <c r="A2017" s="88">
        <v>108</v>
      </c>
      <c r="B2017" s="89" t="s">
        <v>631</v>
      </c>
      <c r="C2017" s="88" t="s">
        <v>0</v>
      </c>
      <c r="D2017" s="89"/>
      <c r="E2017" s="91">
        <v>72315</v>
      </c>
      <c r="F2017" s="88">
        <v>7</v>
      </c>
      <c r="G2017" s="89" t="s">
        <v>1202</v>
      </c>
      <c r="H2017" s="89" t="s">
        <v>1203</v>
      </c>
      <c r="I2017" s="89" t="s">
        <v>237</v>
      </c>
      <c r="J2017" s="89" t="s">
        <v>1204</v>
      </c>
      <c r="K2017" s="89" t="str">
        <f>"00046746"</f>
        <v>00046746</v>
      </c>
    </row>
    <row r="2018" spans="1:11" ht="42.75" x14ac:dyDescent="0.25">
      <c r="A2018" s="88">
        <v>108</v>
      </c>
      <c r="B2018" s="89" t="s">
        <v>606</v>
      </c>
      <c r="C2018" s="88" t="s">
        <v>0</v>
      </c>
      <c r="D2018" s="89"/>
      <c r="E2018" s="91">
        <v>4111</v>
      </c>
      <c r="F2018" s="88">
        <v>7</v>
      </c>
      <c r="G2018" s="89" t="s">
        <v>1207</v>
      </c>
      <c r="H2018" s="89" t="s">
        <v>1208</v>
      </c>
      <c r="I2018" s="89" t="s">
        <v>66</v>
      </c>
      <c r="J2018" s="89" t="s">
        <v>302</v>
      </c>
      <c r="K2018" s="89" t="str">
        <f>"00046840"</f>
        <v>00046840</v>
      </c>
    </row>
    <row r="2019" spans="1:11" ht="71.25" x14ac:dyDescent="0.25">
      <c r="A2019" s="88">
        <v>108</v>
      </c>
      <c r="B2019" s="89" t="s">
        <v>600</v>
      </c>
      <c r="C2019" s="88" t="s">
        <v>0</v>
      </c>
      <c r="D2019" s="89"/>
      <c r="E2019" s="91">
        <v>19448</v>
      </c>
      <c r="F2019" s="88">
        <v>7</v>
      </c>
      <c r="G2019" s="89" t="s">
        <v>1201</v>
      </c>
      <c r="H2019" s="89" t="s">
        <v>1092</v>
      </c>
      <c r="I2019" s="89" t="s">
        <v>61</v>
      </c>
      <c r="J2019" s="89" t="s">
        <v>630</v>
      </c>
      <c r="K2019" s="89" t="str">
        <f>"00046638"</f>
        <v>00046638</v>
      </c>
    </row>
    <row r="2020" spans="1:11" ht="57" x14ac:dyDescent="0.25">
      <c r="A2020" s="88">
        <v>108</v>
      </c>
      <c r="B2020" s="89" t="s">
        <v>631</v>
      </c>
      <c r="C2020" s="88" t="s">
        <v>0</v>
      </c>
      <c r="D2020" s="89"/>
      <c r="E2020" s="91">
        <v>53340</v>
      </c>
      <c r="F2020" s="88">
        <v>7</v>
      </c>
      <c r="G2020" s="89" t="s">
        <v>1205</v>
      </c>
      <c r="H2020" s="89" t="s">
        <v>1206</v>
      </c>
      <c r="I2020" s="89" t="s">
        <v>237</v>
      </c>
      <c r="J2020" s="89" t="s">
        <v>1204</v>
      </c>
      <c r="K2020" s="89" t="str">
        <f>"00046751"</f>
        <v>00046751</v>
      </c>
    </row>
    <row r="2021" spans="1:11" ht="42.75" x14ac:dyDescent="0.25">
      <c r="A2021" s="88">
        <v>108</v>
      </c>
      <c r="B2021" s="89" t="s">
        <v>631</v>
      </c>
      <c r="C2021" s="88" t="s">
        <v>0</v>
      </c>
      <c r="D2021" s="89"/>
      <c r="E2021" s="91">
        <v>129606</v>
      </c>
      <c r="F2021" s="88">
        <v>7</v>
      </c>
      <c r="G2021" s="89" t="s">
        <v>1219</v>
      </c>
      <c r="H2021" s="89" t="s">
        <v>1220</v>
      </c>
      <c r="I2021" s="89" t="s">
        <v>1214</v>
      </c>
      <c r="J2021" s="89" t="s">
        <v>1214</v>
      </c>
      <c r="K2021" s="89" t="str">
        <f>"00046989"</f>
        <v>00046989</v>
      </c>
    </row>
    <row r="2022" spans="1:11" ht="57" x14ac:dyDescent="0.25">
      <c r="A2022" s="88">
        <v>108</v>
      </c>
      <c r="B2022" s="89" t="s">
        <v>631</v>
      </c>
      <c r="C2022" s="88" t="s">
        <v>0</v>
      </c>
      <c r="D2022" s="89"/>
      <c r="E2022" s="91">
        <v>232836</v>
      </c>
      <c r="F2022" s="88">
        <v>7</v>
      </c>
      <c r="G2022" s="89" t="s">
        <v>1221</v>
      </c>
      <c r="H2022" s="89" t="s">
        <v>1222</v>
      </c>
      <c r="I2022" s="89" t="s">
        <v>1214</v>
      </c>
      <c r="J2022" s="89" t="s">
        <v>1214</v>
      </c>
      <c r="K2022" s="89" t="str">
        <f>"00046569"</f>
        <v>00046569</v>
      </c>
    </row>
    <row r="2023" spans="1:11" ht="42.75" x14ac:dyDescent="0.25">
      <c r="A2023" s="88">
        <v>108</v>
      </c>
      <c r="B2023" s="89" t="s">
        <v>631</v>
      </c>
      <c r="C2023" s="88" t="s">
        <v>0</v>
      </c>
      <c r="D2023" s="89"/>
      <c r="E2023" s="91">
        <v>145129</v>
      </c>
      <c r="F2023" s="88">
        <v>7</v>
      </c>
      <c r="G2023" s="89" t="s">
        <v>1261</v>
      </c>
      <c r="H2023" s="89" t="s">
        <v>3925</v>
      </c>
      <c r="I2023" s="89" t="s">
        <v>1214</v>
      </c>
      <c r="J2023" s="89" t="s">
        <v>1214</v>
      </c>
      <c r="K2023" s="89" t="str">
        <f>"00047481"</f>
        <v>00047481</v>
      </c>
    </row>
    <row r="2024" spans="1:11" ht="42.75" x14ac:dyDescent="0.25">
      <c r="A2024" s="88">
        <v>108</v>
      </c>
      <c r="B2024" s="89" t="s">
        <v>631</v>
      </c>
      <c r="C2024" s="88" t="s">
        <v>0</v>
      </c>
      <c r="D2024" s="89"/>
      <c r="E2024" s="91">
        <v>151060</v>
      </c>
      <c r="F2024" s="88">
        <v>7</v>
      </c>
      <c r="G2024" s="89" t="s">
        <v>3926</v>
      </c>
      <c r="H2024" s="89" t="s">
        <v>3927</v>
      </c>
      <c r="I2024" s="89" t="s">
        <v>1214</v>
      </c>
      <c r="J2024" s="89" t="s">
        <v>1214</v>
      </c>
      <c r="K2024" s="89" t="str">
        <f>"00047895"</f>
        <v>00047895</v>
      </c>
    </row>
    <row r="2025" spans="1:11" ht="42.75" x14ac:dyDescent="0.25">
      <c r="A2025" s="88">
        <v>108</v>
      </c>
      <c r="B2025" s="89" t="s">
        <v>631</v>
      </c>
      <c r="C2025" s="88" t="s">
        <v>0</v>
      </c>
      <c r="D2025" s="89"/>
      <c r="E2025" s="91">
        <v>21096</v>
      </c>
      <c r="F2025" s="88">
        <v>7</v>
      </c>
      <c r="G2025" s="89" t="s">
        <v>1274</v>
      </c>
      <c r="H2025" s="89" t="s">
        <v>1275</v>
      </c>
      <c r="I2025" s="89" t="s">
        <v>66</v>
      </c>
      <c r="J2025" s="89" t="s">
        <v>125</v>
      </c>
      <c r="K2025" s="89" t="str">
        <f>"00048308"</f>
        <v>00048308</v>
      </c>
    </row>
    <row r="2026" spans="1:11" ht="42.75" x14ac:dyDescent="0.25">
      <c r="A2026" s="88">
        <v>108</v>
      </c>
      <c r="B2026" s="89" t="s">
        <v>631</v>
      </c>
      <c r="C2026" s="88" t="s">
        <v>0</v>
      </c>
      <c r="D2026" s="89"/>
      <c r="E2026" s="91">
        <v>24866</v>
      </c>
      <c r="F2026" s="88">
        <v>7</v>
      </c>
      <c r="G2026" s="89" t="s">
        <v>1274</v>
      </c>
      <c r="H2026" s="89" t="s">
        <v>1275</v>
      </c>
      <c r="I2026" s="89" t="s">
        <v>66</v>
      </c>
      <c r="J2026" s="89" t="s">
        <v>125</v>
      </c>
      <c r="K2026" s="89" t="str">
        <f>"00048309"</f>
        <v>00048309</v>
      </c>
    </row>
    <row r="2027" spans="1:11" ht="42.75" x14ac:dyDescent="0.25">
      <c r="A2027" s="88">
        <v>108</v>
      </c>
      <c r="B2027" s="89" t="s">
        <v>631</v>
      </c>
      <c r="C2027" s="88" t="s">
        <v>0</v>
      </c>
      <c r="D2027" s="89"/>
      <c r="E2027" s="91">
        <v>179648</v>
      </c>
      <c r="F2027" s="88">
        <v>7</v>
      </c>
      <c r="G2027" s="89" t="s">
        <v>3924</v>
      </c>
      <c r="H2027" s="89" t="s">
        <v>1286</v>
      </c>
      <c r="I2027" s="89" t="s">
        <v>1214</v>
      </c>
      <c r="J2027" s="89" t="s">
        <v>1214</v>
      </c>
      <c r="K2027" s="89" t="str">
        <f>"00047953"</f>
        <v>00047953</v>
      </c>
    </row>
    <row r="2028" spans="1:11" ht="42.75" x14ac:dyDescent="0.25">
      <c r="A2028" s="88">
        <v>108</v>
      </c>
      <c r="B2028" s="89" t="s">
        <v>631</v>
      </c>
      <c r="C2028" s="88" t="s">
        <v>0</v>
      </c>
      <c r="D2028" s="89"/>
      <c r="E2028" s="91">
        <v>131027</v>
      </c>
      <c r="F2028" s="88">
        <v>7</v>
      </c>
      <c r="G2028" s="89" t="s">
        <v>1261</v>
      </c>
      <c r="H2028" s="89" t="s">
        <v>3928</v>
      </c>
      <c r="I2028" s="89" t="s">
        <v>1214</v>
      </c>
      <c r="J2028" s="89" t="s">
        <v>1214</v>
      </c>
      <c r="K2028" s="89" t="str">
        <f>"00047484"</f>
        <v>00047484</v>
      </c>
    </row>
    <row r="2029" spans="1:11" ht="42.75" x14ac:dyDescent="0.25">
      <c r="A2029" s="88">
        <v>108</v>
      </c>
      <c r="B2029" s="89" t="s">
        <v>631</v>
      </c>
      <c r="C2029" s="88" t="s">
        <v>0</v>
      </c>
      <c r="D2029" s="89"/>
      <c r="E2029" s="91">
        <v>25599</v>
      </c>
      <c r="F2029" s="88">
        <v>7</v>
      </c>
      <c r="G2029" s="89" t="s">
        <v>1274</v>
      </c>
      <c r="H2029" s="89" t="s">
        <v>3923</v>
      </c>
      <c r="I2029" s="89" t="s">
        <v>66</v>
      </c>
      <c r="J2029" s="89" t="s">
        <v>125</v>
      </c>
      <c r="K2029" s="89" t="str">
        <f>"00048310"</f>
        <v>00048310</v>
      </c>
    </row>
    <row r="2030" spans="1:11" ht="42.75" x14ac:dyDescent="0.25">
      <c r="A2030" s="88">
        <v>108</v>
      </c>
      <c r="B2030" s="89" t="s">
        <v>631</v>
      </c>
      <c r="C2030" s="88" t="s">
        <v>0</v>
      </c>
      <c r="D2030" s="89"/>
      <c r="E2030" s="91">
        <v>167887</v>
      </c>
      <c r="F2030" s="88">
        <v>7</v>
      </c>
      <c r="G2030" s="89" t="s">
        <v>3924</v>
      </c>
      <c r="H2030" s="89" t="s">
        <v>1286</v>
      </c>
      <c r="I2030" s="89" t="s">
        <v>1214</v>
      </c>
      <c r="J2030" s="89" t="s">
        <v>1214</v>
      </c>
      <c r="K2030" s="89" t="str">
        <f>"00047962"</f>
        <v>00047962</v>
      </c>
    </row>
    <row r="2031" spans="1:11" ht="42.75" x14ac:dyDescent="0.25">
      <c r="A2031" s="88">
        <v>108</v>
      </c>
      <c r="B2031" s="89" t="s">
        <v>631</v>
      </c>
      <c r="C2031" s="88" t="s">
        <v>0</v>
      </c>
      <c r="D2031" s="89"/>
      <c r="E2031" s="91">
        <v>185061</v>
      </c>
      <c r="F2031" s="88">
        <v>7</v>
      </c>
      <c r="G2031" s="89" t="s">
        <v>3870</v>
      </c>
      <c r="H2031" s="89" t="s">
        <v>3858</v>
      </c>
      <c r="I2031" s="89" t="s">
        <v>1214</v>
      </c>
      <c r="J2031" s="89" t="s">
        <v>1214</v>
      </c>
      <c r="K2031" s="89" t="str">
        <f>"00049011"</f>
        <v>00049011</v>
      </c>
    </row>
    <row r="2032" spans="1:11" ht="99.75" x14ac:dyDescent="0.25">
      <c r="A2032" s="88">
        <v>108</v>
      </c>
      <c r="B2032" s="89" t="s">
        <v>3907</v>
      </c>
      <c r="C2032" s="88" t="s">
        <v>0</v>
      </c>
      <c r="D2032" s="89"/>
      <c r="E2032" s="91">
        <v>86892</v>
      </c>
      <c r="F2032" s="88">
        <v>7</v>
      </c>
      <c r="G2032" s="89" t="s">
        <v>3920</v>
      </c>
      <c r="H2032" s="89" t="s">
        <v>3921</v>
      </c>
      <c r="I2032" s="89" t="s">
        <v>1315</v>
      </c>
      <c r="J2032" s="89" t="s">
        <v>3922</v>
      </c>
      <c r="K2032" s="89" t="str">
        <f>"00048173"</f>
        <v>00048173</v>
      </c>
    </row>
    <row r="2033" spans="1:11" ht="42.75" x14ac:dyDescent="0.25">
      <c r="A2033" s="88">
        <v>108</v>
      </c>
      <c r="B2033" s="89" t="s">
        <v>620</v>
      </c>
      <c r="C2033" s="88" t="s">
        <v>0</v>
      </c>
      <c r="D2033" s="89"/>
      <c r="E2033" s="91">
        <v>16748</v>
      </c>
      <c r="F2033" s="88">
        <v>7</v>
      </c>
      <c r="G2033" s="89" t="s">
        <v>3917</v>
      </c>
      <c r="H2033" s="89" t="s">
        <v>3918</v>
      </c>
      <c r="I2033" s="89" t="s">
        <v>66</v>
      </c>
      <c r="J2033" s="89" t="s">
        <v>3919</v>
      </c>
      <c r="K2033" s="89" t="str">
        <f>"00048636"</f>
        <v>00048636</v>
      </c>
    </row>
    <row r="2034" spans="1:11" ht="57" x14ac:dyDescent="0.25">
      <c r="A2034" s="88">
        <v>108</v>
      </c>
      <c r="B2034" s="89" t="s">
        <v>612</v>
      </c>
      <c r="C2034" s="88" t="s">
        <v>0</v>
      </c>
      <c r="D2034" s="89"/>
      <c r="E2034" s="91">
        <v>51656</v>
      </c>
      <c r="F2034" s="88">
        <v>7</v>
      </c>
      <c r="G2034" s="89" t="s">
        <v>3881</v>
      </c>
      <c r="H2034" s="89" t="s">
        <v>1845</v>
      </c>
      <c r="I2034" s="89" t="s">
        <v>763</v>
      </c>
      <c r="J2034" s="89" t="s">
        <v>3875</v>
      </c>
      <c r="K2034" s="89" t="str">
        <f>"00049346"</f>
        <v>00049346</v>
      </c>
    </row>
    <row r="2035" spans="1:11" ht="57" x14ac:dyDescent="0.25">
      <c r="A2035" s="88">
        <v>108</v>
      </c>
      <c r="B2035" s="89" t="s">
        <v>631</v>
      </c>
      <c r="C2035" s="88" t="s">
        <v>0</v>
      </c>
      <c r="D2035" s="89"/>
      <c r="E2035" s="91">
        <v>23673</v>
      </c>
      <c r="F2035" s="88">
        <v>7</v>
      </c>
      <c r="G2035" s="89" t="s">
        <v>3881</v>
      </c>
      <c r="H2035" s="89" t="s">
        <v>1845</v>
      </c>
      <c r="I2035" s="89" t="s">
        <v>763</v>
      </c>
      <c r="J2035" s="89" t="s">
        <v>3875</v>
      </c>
      <c r="K2035" s="89" t="str">
        <f>"00049346"</f>
        <v>00049346</v>
      </c>
    </row>
    <row r="2036" spans="1:11" ht="71.25" x14ac:dyDescent="0.25">
      <c r="A2036" s="88">
        <v>108</v>
      </c>
      <c r="B2036" s="89" t="s">
        <v>1257</v>
      </c>
      <c r="C2036" s="88" t="s">
        <v>0</v>
      </c>
      <c r="D2036" s="89"/>
      <c r="E2036" s="91">
        <v>50693</v>
      </c>
      <c r="F2036" s="88">
        <v>7</v>
      </c>
      <c r="G2036" s="89" t="s">
        <v>1258</v>
      </c>
      <c r="H2036" s="89" t="s">
        <v>3865</v>
      </c>
      <c r="I2036" s="89" t="s">
        <v>32</v>
      </c>
      <c r="J2036" s="89" t="s">
        <v>1260</v>
      </c>
      <c r="K2036" s="89" t="str">
        <f>"00048037"</f>
        <v>00048037</v>
      </c>
    </row>
    <row r="2037" spans="1:11" ht="57" x14ac:dyDescent="0.25">
      <c r="A2037" s="88">
        <v>108</v>
      </c>
      <c r="B2037" s="89" t="s">
        <v>631</v>
      </c>
      <c r="C2037" s="88" t="s">
        <v>0</v>
      </c>
      <c r="D2037" s="89"/>
      <c r="E2037" s="91">
        <v>149408</v>
      </c>
      <c r="F2037" s="88">
        <v>7</v>
      </c>
      <c r="G2037" s="89" t="s">
        <v>3866</v>
      </c>
      <c r="H2037" s="89" t="s">
        <v>3867</v>
      </c>
      <c r="I2037" s="89" t="s">
        <v>32</v>
      </c>
      <c r="J2037" s="89" t="s">
        <v>2252</v>
      </c>
      <c r="K2037" s="89" t="str">
        <f>"00048981"</f>
        <v>00048981</v>
      </c>
    </row>
    <row r="2038" spans="1:11" ht="71.25" x14ac:dyDescent="0.25">
      <c r="A2038" s="80">
        <v>107</v>
      </c>
      <c r="B2038" s="52" t="s">
        <v>5408</v>
      </c>
      <c r="C2038" s="80" t="s">
        <v>0</v>
      </c>
      <c r="D2038" s="52"/>
      <c r="E2038" s="53">
        <v>-26968</v>
      </c>
      <c r="F2038" s="80">
        <v>7</v>
      </c>
      <c r="G2038" s="96" t="s">
        <v>5811</v>
      </c>
      <c r="H2038" s="96" t="s">
        <v>5409</v>
      </c>
      <c r="I2038" s="96" t="s">
        <v>32</v>
      </c>
      <c r="J2038" s="96" t="s">
        <v>5410</v>
      </c>
      <c r="K2038" s="96" t="s">
        <v>6065</v>
      </c>
    </row>
    <row r="2039" spans="1:11" ht="71.25" x14ac:dyDescent="0.25">
      <c r="A2039" s="81">
        <v>107</v>
      </c>
      <c r="B2039" s="54" t="s">
        <v>631</v>
      </c>
      <c r="C2039" s="81" t="s">
        <v>0</v>
      </c>
      <c r="D2039" s="54"/>
      <c r="E2039" s="55">
        <v>-19944</v>
      </c>
      <c r="F2039" s="81">
        <v>4</v>
      </c>
      <c r="G2039" s="56" t="s">
        <v>5812</v>
      </c>
      <c r="H2039" s="56" t="s">
        <v>5813</v>
      </c>
      <c r="I2039" s="56" t="s">
        <v>66</v>
      </c>
      <c r="J2039" s="56" t="s">
        <v>332</v>
      </c>
      <c r="K2039" s="56" t="s">
        <v>6064</v>
      </c>
    </row>
    <row r="2040" spans="1:11" x14ac:dyDescent="0.25">
      <c r="A2040" s="83">
        <v>108</v>
      </c>
      <c r="B2040" s="84" t="s">
        <v>883</v>
      </c>
      <c r="C2040" s="83" t="s">
        <v>0</v>
      </c>
      <c r="D2040" s="29">
        <v>28893</v>
      </c>
      <c r="E2040" s="30"/>
      <c r="F2040" s="83">
        <v>7</v>
      </c>
      <c r="G2040" s="84" t="s">
        <v>889</v>
      </c>
      <c r="H2040" s="84"/>
      <c r="I2040" s="84" t="s">
        <v>885</v>
      </c>
      <c r="J2040" s="84"/>
      <c r="K2040" s="84" t="str">
        <f>"　"</f>
        <v>　</v>
      </c>
    </row>
    <row r="2041" spans="1:11" ht="42.75" x14ac:dyDescent="0.25">
      <c r="A2041" s="83">
        <v>108</v>
      </c>
      <c r="B2041" s="84" t="s">
        <v>883</v>
      </c>
      <c r="C2041" s="83" t="s">
        <v>0</v>
      </c>
      <c r="D2041" s="84"/>
      <c r="E2041" s="85">
        <v>28893</v>
      </c>
      <c r="F2041" s="83">
        <v>7</v>
      </c>
      <c r="G2041" s="84" t="s">
        <v>3400</v>
      </c>
      <c r="H2041" s="84" t="s">
        <v>2494</v>
      </c>
      <c r="I2041" s="84" t="s">
        <v>94</v>
      </c>
      <c r="J2041" s="84" t="s">
        <v>2084</v>
      </c>
      <c r="K2041" s="84" t="str">
        <f>"00052746"</f>
        <v>00052746</v>
      </c>
    </row>
    <row r="2042" spans="1:11" x14ac:dyDescent="0.25">
      <c r="A2042" s="83">
        <v>108</v>
      </c>
      <c r="B2042" s="84" t="s">
        <v>883</v>
      </c>
      <c r="C2042" s="83" t="s">
        <v>0</v>
      </c>
      <c r="D2042" s="29">
        <v>25641</v>
      </c>
      <c r="E2042" s="30"/>
      <c r="F2042" s="83">
        <v>7</v>
      </c>
      <c r="G2042" s="84" t="s">
        <v>889</v>
      </c>
      <c r="H2042" s="84"/>
      <c r="I2042" s="84" t="s">
        <v>885</v>
      </c>
      <c r="J2042" s="84"/>
      <c r="K2042" s="84" t="str">
        <f>"　"</f>
        <v>　</v>
      </c>
    </row>
    <row r="2043" spans="1:11" ht="99.75" x14ac:dyDescent="0.25">
      <c r="A2043" s="83">
        <v>108</v>
      </c>
      <c r="B2043" s="84" t="s">
        <v>883</v>
      </c>
      <c r="C2043" s="83" t="s">
        <v>0</v>
      </c>
      <c r="D2043" s="84"/>
      <c r="E2043" s="85">
        <v>25641</v>
      </c>
      <c r="F2043" s="83">
        <v>7</v>
      </c>
      <c r="G2043" s="84" t="s">
        <v>3398</v>
      </c>
      <c r="H2043" s="84" t="s">
        <v>2439</v>
      </c>
      <c r="I2043" s="84" t="s">
        <v>113</v>
      </c>
      <c r="J2043" s="84" t="s">
        <v>3399</v>
      </c>
      <c r="K2043" s="84" t="str">
        <f>"00049336"</f>
        <v>00049336</v>
      </c>
    </row>
    <row r="2044" spans="1:11" ht="28.5" x14ac:dyDescent="0.25">
      <c r="A2044" s="83">
        <v>108</v>
      </c>
      <c r="B2044" s="84" t="s">
        <v>883</v>
      </c>
      <c r="C2044" s="83" t="s">
        <v>0</v>
      </c>
      <c r="D2044" s="29">
        <v>54646</v>
      </c>
      <c r="E2044" s="30"/>
      <c r="F2044" s="83">
        <v>7</v>
      </c>
      <c r="G2044" s="84" t="s">
        <v>892</v>
      </c>
      <c r="H2044" s="84"/>
      <c r="I2044" s="84" t="s">
        <v>885</v>
      </c>
      <c r="J2044" s="84"/>
      <c r="K2044" s="84" t="str">
        <f>"　"</f>
        <v>　</v>
      </c>
    </row>
    <row r="2045" spans="1:11" ht="71.25" x14ac:dyDescent="0.25">
      <c r="A2045" s="83">
        <v>108</v>
      </c>
      <c r="B2045" s="84" t="s">
        <v>883</v>
      </c>
      <c r="C2045" s="83" t="s">
        <v>0</v>
      </c>
      <c r="D2045" s="84"/>
      <c r="E2045" s="85">
        <v>54646</v>
      </c>
      <c r="F2045" s="83">
        <v>7</v>
      </c>
      <c r="G2045" s="84" t="s">
        <v>3437</v>
      </c>
      <c r="H2045" s="84" t="s">
        <v>3438</v>
      </c>
      <c r="I2045" s="84" t="s">
        <v>32</v>
      </c>
      <c r="J2045" s="84" t="s">
        <v>3439</v>
      </c>
      <c r="K2045" s="84" t="str">
        <f>"00047497"</f>
        <v>00047497</v>
      </c>
    </row>
    <row r="2046" spans="1:11" ht="28.5" x14ac:dyDescent="0.25">
      <c r="A2046" s="83">
        <v>108</v>
      </c>
      <c r="B2046" s="84" t="s">
        <v>883</v>
      </c>
      <c r="C2046" s="83" t="s">
        <v>0</v>
      </c>
      <c r="D2046" s="29">
        <v>153849</v>
      </c>
      <c r="E2046" s="30"/>
      <c r="F2046" s="83">
        <v>7</v>
      </c>
      <c r="G2046" s="84" t="s">
        <v>892</v>
      </c>
      <c r="H2046" s="84"/>
      <c r="I2046" s="84" t="s">
        <v>885</v>
      </c>
      <c r="J2046" s="84"/>
      <c r="K2046" s="84" t="str">
        <f>"　"</f>
        <v>　</v>
      </c>
    </row>
    <row r="2047" spans="1:11" ht="85.5" x14ac:dyDescent="0.25">
      <c r="A2047" s="83">
        <v>108</v>
      </c>
      <c r="B2047" s="84" t="s">
        <v>883</v>
      </c>
      <c r="C2047" s="83" t="s">
        <v>0</v>
      </c>
      <c r="D2047" s="84"/>
      <c r="E2047" s="85">
        <v>153849</v>
      </c>
      <c r="F2047" s="83">
        <v>7</v>
      </c>
      <c r="G2047" s="84" t="s">
        <v>3433</v>
      </c>
      <c r="H2047" s="84" t="s">
        <v>3434</v>
      </c>
      <c r="I2047" s="84" t="s">
        <v>32</v>
      </c>
      <c r="J2047" s="84" t="s">
        <v>2709</v>
      </c>
      <c r="K2047" s="84" t="str">
        <f>"00048272"</f>
        <v>00048272</v>
      </c>
    </row>
    <row r="2048" spans="1:11" ht="28.5" x14ac:dyDescent="0.25">
      <c r="A2048" s="83">
        <v>108</v>
      </c>
      <c r="B2048" s="84" t="s">
        <v>883</v>
      </c>
      <c r="C2048" s="83" t="s">
        <v>0</v>
      </c>
      <c r="D2048" s="29">
        <v>187941</v>
      </c>
      <c r="E2048" s="30"/>
      <c r="F2048" s="83">
        <v>7</v>
      </c>
      <c r="G2048" s="84" t="s">
        <v>892</v>
      </c>
      <c r="H2048" s="84"/>
      <c r="I2048" s="84" t="s">
        <v>885</v>
      </c>
      <c r="J2048" s="84"/>
      <c r="K2048" s="84" t="str">
        <f>"　"</f>
        <v>　</v>
      </c>
    </row>
    <row r="2049" spans="1:11" ht="85.5" x14ac:dyDescent="0.25">
      <c r="A2049" s="83">
        <v>108</v>
      </c>
      <c r="B2049" s="84" t="s">
        <v>883</v>
      </c>
      <c r="C2049" s="83" t="s">
        <v>0</v>
      </c>
      <c r="D2049" s="84"/>
      <c r="E2049" s="85">
        <v>187941</v>
      </c>
      <c r="F2049" s="83">
        <v>7</v>
      </c>
      <c r="G2049" s="84" t="s">
        <v>6475</v>
      </c>
      <c r="H2049" s="84" t="s">
        <v>3435</v>
      </c>
      <c r="I2049" s="84" t="s">
        <v>849</v>
      </c>
      <c r="J2049" s="84" t="s">
        <v>3436</v>
      </c>
      <c r="K2049" s="84" t="s">
        <v>6577</v>
      </c>
    </row>
    <row r="2050" spans="1:11" ht="28.5" x14ac:dyDescent="0.25">
      <c r="A2050" s="83">
        <v>108</v>
      </c>
      <c r="B2050" s="84" t="s">
        <v>12</v>
      </c>
      <c r="C2050" s="83" t="s">
        <v>0</v>
      </c>
      <c r="D2050" s="85">
        <v>30090000</v>
      </c>
      <c r="E2050" s="30"/>
      <c r="F2050" s="83">
        <v>7</v>
      </c>
      <c r="G2050" s="84" t="s">
        <v>52</v>
      </c>
      <c r="H2050" s="84"/>
      <c r="I2050" s="84" t="s">
        <v>921</v>
      </c>
      <c r="J2050" s="84"/>
      <c r="K2050" s="84" t="str">
        <f>"　"</f>
        <v>　</v>
      </c>
    </row>
    <row r="2051" spans="1:11" ht="42.75" x14ac:dyDescent="0.25">
      <c r="A2051" s="83">
        <v>108</v>
      </c>
      <c r="B2051" s="84" t="s">
        <v>660</v>
      </c>
      <c r="C2051" s="83" t="s">
        <v>0</v>
      </c>
      <c r="D2051" s="84"/>
      <c r="E2051" s="85">
        <v>46342</v>
      </c>
      <c r="F2051" s="83">
        <v>7</v>
      </c>
      <c r="G2051" s="84" t="s">
        <v>1308</v>
      </c>
      <c r="H2051" s="84" t="s">
        <v>659</v>
      </c>
      <c r="I2051" s="84" t="s">
        <v>66</v>
      </c>
      <c r="J2051" s="84" t="s">
        <v>302</v>
      </c>
      <c r="K2051" s="84" t="str">
        <f>"00047557"</f>
        <v>00047557</v>
      </c>
    </row>
    <row r="2052" spans="1:11" ht="99.75" x14ac:dyDescent="0.25">
      <c r="A2052" s="83">
        <v>108</v>
      </c>
      <c r="B2052" s="84" t="s">
        <v>2927</v>
      </c>
      <c r="C2052" s="83" t="s">
        <v>0</v>
      </c>
      <c r="D2052" s="84"/>
      <c r="E2052" s="85">
        <v>20000</v>
      </c>
      <c r="F2052" s="83">
        <v>7</v>
      </c>
      <c r="G2052" s="84" t="s">
        <v>3992</v>
      </c>
      <c r="H2052" s="84" t="s">
        <v>3993</v>
      </c>
      <c r="I2052" s="84" t="s">
        <v>66</v>
      </c>
      <c r="J2052" s="84" t="s">
        <v>302</v>
      </c>
      <c r="K2052" s="84" t="s">
        <v>6066</v>
      </c>
    </row>
    <row r="2053" spans="1:11" ht="85.5" x14ac:dyDescent="0.25">
      <c r="A2053" s="83">
        <v>108</v>
      </c>
      <c r="B2053" s="84" t="s">
        <v>2907</v>
      </c>
      <c r="C2053" s="83" t="s">
        <v>0</v>
      </c>
      <c r="D2053" s="84"/>
      <c r="E2053" s="85">
        <v>50000</v>
      </c>
      <c r="F2053" s="83">
        <v>7</v>
      </c>
      <c r="G2053" s="84" t="s">
        <v>3990</v>
      </c>
      <c r="H2053" s="84" t="s">
        <v>2494</v>
      </c>
      <c r="I2053" s="84" t="s">
        <v>94</v>
      </c>
      <c r="J2053" s="84" t="s">
        <v>2084</v>
      </c>
      <c r="K2053" s="84" t="str">
        <f>"00052748"</f>
        <v>00052748</v>
      </c>
    </row>
    <row r="2054" spans="1:11" ht="57" x14ac:dyDescent="0.25">
      <c r="A2054" s="83">
        <v>108</v>
      </c>
      <c r="B2054" s="84" t="s">
        <v>2916</v>
      </c>
      <c r="C2054" s="83" t="s">
        <v>0</v>
      </c>
      <c r="D2054" s="84"/>
      <c r="E2054" s="85">
        <v>54549</v>
      </c>
      <c r="F2054" s="83">
        <v>7</v>
      </c>
      <c r="G2054" s="84" t="s">
        <v>3991</v>
      </c>
      <c r="H2054" s="84" t="s">
        <v>2439</v>
      </c>
      <c r="I2054" s="84" t="s">
        <v>113</v>
      </c>
      <c r="J2054" s="84" t="s">
        <v>3399</v>
      </c>
      <c r="K2054" s="84" t="str">
        <f>"00047311"</f>
        <v>00047311</v>
      </c>
    </row>
    <row r="2055" spans="1:11" ht="28.5" x14ac:dyDescent="0.25">
      <c r="A2055" s="88">
        <v>108</v>
      </c>
      <c r="B2055" s="89" t="s">
        <v>12</v>
      </c>
      <c r="C2055" s="88" t="s">
        <v>0</v>
      </c>
      <c r="D2055" s="91">
        <v>30090000</v>
      </c>
      <c r="E2055" s="28"/>
      <c r="F2055" s="88">
        <v>7</v>
      </c>
      <c r="G2055" s="89" t="s">
        <v>52</v>
      </c>
      <c r="H2055" s="89"/>
      <c r="I2055" s="89" t="s">
        <v>921</v>
      </c>
      <c r="J2055" s="89"/>
      <c r="K2055" s="89" t="str">
        <f>"　"</f>
        <v>　</v>
      </c>
    </row>
    <row r="2056" spans="1:11" ht="71.25" x14ac:dyDescent="0.25">
      <c r="A2056" s="88">
        <v>108</v>
      </c>
      <c r="B2056" s="89" t="s">
        <v>386</v>
      </c>
      <c r="C2056" s="88" t="s">
        <v>0</v>
      </c>
      <c r="D2056" s="89"/>
      <c r="E2056" s="91">
        <v>168439</v>
      </c>
      <c r="F2056" s="88">
        <v>7</v>
      </c>
      <c r="G2056" s="89" t="s">
        <v>1087</v>
      </c>
      <c r="H2056" s="89" t="s">
        <v>1088</v>
      </c>
      <c r="I2056" s="89" t="s">
        <v>32</v>
      </c>
      <c r="J2056" s="89" t="s">
        <v>1089</v>
      </c>
      <c r="K2056" s="89" t="str">
        <f>"00045820"</f>
        <v>00045820</v>
      </c>
    </row>
    <row r="2057" spans="1:11" ht="71.25" x14ac:dyDescent="0.25">
      <c r="A2057" s="88">
        <v>108</v>
      </c>
      <c r="B2057" s="89" t="s">
        <v>1090</v>
      </c>
      <c r="C2057" s="88" t="s">
        <v>0</v>
      </c>
      <c r="D2057" s="89"/>
      <c r="E2057" s="91">
        <v>102161</v>
      </c>
      <c r="F2057" s="88">
        <v>7</v>
      </c>
      <c r="G2057" s="89" t="s">
        <v>1091</v>
      </c>
      <c r="H2057" s="89" t="s">
        <v>1092</v>
      </c>
      <c r="I2057" s="89" t="s">
        <v>32</v>
      </c>
      <c r="J2057" s="89" t="s">
        <v>1093</v>
      </c>
      <c r="K2057" s="89" t="str">
        <f>"00046828"</f>
        <v>00046828</v>
      </c>
    </row>
    <row r="2058" spans="1:11" ht="85.5" x14ac:dyDescent="0.25">
      <c r="A2058" s="88">
        <v>108</v>
      </c>
      <c r="B2058" s="89" t="s">
        <v>1079</v>
      </c>
      <c r="C2058" s="88" t="s">
        <v>0</v>
      </c>
      <c r="D2058" s="89"/>
      <c r="E2058" s="91">
        <v>49473</v>
      </c>
      <c r="F2058" s="88">
        <v>7</v>
      </c>
      <c r="G2058" s="89" t="s">
        <v>1094</v>
      </c>
      <c r="H2058" s="89" t="s">
        <v>1081</v>
      </c>
      <c r="I2058" s="89" t="s">
        <v>66</v>
      </c>
      <c r="J2058" s="89" t="s">
        <v>1082</v>
      </c>
      <c r="K2058" s="89" t="str">
        <f>"00048880"</f>
        <v>00048880</v>
      </c>
    </row>
    <row r="2059" spans="1:11" ht="85.5" x14ac:dyDescent="0.25">
      <c r="A2059" s="88">
        <v>108</v>
      </c>
      <c r="B2059" s="89" t="s">
        <v>1079</v>
      </c>
      <c r="C2059" s="88" t="s">
        <v>0</v>
      </c>
      <c r="D2059" s="89"/>
      <c r="E2059" s="91">
        <v>49473</v>
      </c>
      <c r="F2059" s="88">
        <v>7</v>
      </c>
      <c r="G2059" s="89" t="s">
        <v>1080</v>
      </c>
      <c r="H2059" s="89" t="s">
        <v>1081</v>
      </c>
      <c r="I2059" s="89" t="s">
        <v>66</v>
      </c>
      <c r="J2059" s="89" t="s">
        <v>1082</v>
      </c>
      <c r="K2059" s="89" t="str">
        <f>"00049034"</f>
        <v>00049034</v>
      </c>
    </row>
    <row r="2060" spans="1:11" ht="57" x14ac:dyDescent="0.25">
      <c r="A2060" s="88">
        <v>108</v>
      </c>
      <c r="B2060" s="89" t="s">
        <v>1076</v>
      </c>
      <c r="C2060" s="88" t="s">
        <v>0</v>
      </c>
      <c r="D2060" s="89"/>
      <c r="E2060" s="91">
        <v>59963</v>
      </c>
      <c r="F2060" s="88">
        <v>7</v>
      </c>
      <c r="G2060" s="89" t="s">
        <v>1077</v>
      </c>
      <c r="H2060" s="89" t="s">
        <v>1078</v>
      </c>
      <c r="I2060" s="89" t="s">
        <v>94</v>
      </c>
      <c r="J2060" s="89" t="s">
        <v>355</v>
      </c>
      <c r="K2060" s="89" t="str">
        <f>"00048943"</f>
        <v>00048943</v>
      </c>
    </row>
    <row r="2061" spans="1:11" ht="256.5" x14ac:dyDescent="0.25">
      <c r="A2061" s="88">
        <v>108</v>
      </c>
      <c r="B2061" s="89" t="s">
        <v>1071</v>
      </c>
      <c r="C2061" s="88" t="s">
        <v>0</v>
      </c>
      <c r="D2061" s="89"/>
      <c r="E2061" s="91">
        <v>215190</v>
      </c>
      <c r="F2061" s="88">
        <v>7</v>
      </c>
      <c r="G2061" s="89" t="s">
        <v>1072</v>
      </c>
      <c r="H2061" s="89" t="s">
        <v>1073</v>
      </c>
      <c r="I2061" s="89" t="s">
        <v>1074</v>
      </c>
      <c r="J2061" s="89" t="s">
        <v>1075</v>
      </c>
      <c r="K2061" s="89" t="str">
        <f>"00047494"</f>
        <v>00047494</v>
      </c>
    </row>
    <row r="2062" spans="1:11" ht="42.75" x14ac:dyDescent="0.25">
      <c r="A2062" s="88">
        <v>108</v>
      </c>
      <c r="B2062" s="89" t="s">
        <v>1083</v>
      </c>
      <c r="C2062" s="88" t="s">
        <v>0</v>
      </c>
      <c r="D2062" s="89"/>
      <c r="E2062" s="91">
        <v>35688</v>
      </c>
      <c r="F2062" s="88">
        <v>7</v>
      </c>
      <c r="G2062" s="89" t="s">
        <v>1084</v>
      </c>
      <c r="H2062" s="89" t="s">
        <v>1085</v>
      </c>
      <c r="I2062" s="89" t="s">
        <v>66</v>
      </c>
      <c r="J2062" s="89" t="s">
        <v>1086</v>
      </c>
      <c r="K2062" s="89" t="str">
        <f>"00046717"</f>
        <v>00046717</v>
      </c>
    </row>
    <row r="2063" spans="1:11" ht="85.5" x14ac:dyDescent="0.25">
      <c r="A2063" s="88">
        <v>108</v>
      </c>
      <c r="B2063" s="89" t="s">
        <v>3695</v>
      </c>
      <c r="C2063" s="88" t="s">
        <v>0</v>
      </c>
      <c r="D2063" s="89"/>
      <c r="E2063" s="91">
        <v>122791</v>
      </c>
      <c r="F2063" s="88">
        <v>7</v>
      </c>
      <c r="G2063" s="89" t="s">
        <v>3696</v>
      </c>
      <c r="H2063" s="89" t="s">
        <v>3697</v>
      </c>
      <c r="I2063" s="89" t="s">
        <v>66</v>
      </c>
      <c r="J2063" s="89" t="s">
        <v>877</v>
      </c>
      <c r="K2063" s="89" t="str">
        <f>"00048964"</f>
        <v>00048964</v>
      </c>
    </row>
    <row r="2064" spans="1:11" ht="85.5" x14ac:dyDescent="0.25">
      <c r="A2064" s="88">
        <v>108</v>
      </c>
      <c r="B2064" s="89" t="s">
        <v>2118</v>
      </c>
      <c r="C2064" s="88" t="s">
        <v>0</v>
      </c>
      <c r="D2064" s="89"/>
      <c r="E2064" s="91">
        <v>129024</v>
      </c>
      <c r="F2064" s="88">
        <v>7</v>
      </c>
      <c r="G2064" s="89" t="s">
        <v>3706</v>
      </c>
      <c r="H2064" s="89" t="s">
        <v>2120</v>
      </c>
      <c r="I2064" s="89" t="s">
        <v>17</v>
      </c>
      <c r="J2064" s="89" t="s">
        <v>18</v>
      </c>
      <c r="K2064" s="89" t="s">
        <v>5957</v>
      </c>
    </row>
    <row r="2065" spans="1:11" ht="128.25" x14ac:dyDescent="0.25">
      <c r="A2065" s="88">
        <v>108</v>
      </c>
      <c r="B2065" s="89" t="s">
        <v>2152</v>
      </c>
      <c r="C2065" s="88" t="s">
        <v>0</v>
      </c>
      <c r="D2065" s="89"/>
      <c r="E2065" s="91">
        <v>35732</v>
      </c>
      <c r="F2065" s="88">
        <v>7</v>
      </c>
      <c r="G2065" s="89" t="s">
        <v>3698</v>
      </c>
      <c r="H2065" s="89" t="s">
        <v>2154</v>
      </c>
      <c r="I2065" s="89" t="s">
        <v>32</v>
      </c>
      <c r="J2065" s="89" t="s">
        <v>2155</v>
      </c>
      <c r="K2065" s="89" t="str">
        <f>"00048790"</f>
        <v>00048790</v>
      </c>
    </row>
    <row r="2066" spans="1:11" ht="114" x14ac:dyDescent="0.25">
      <c r="A2066" s="88">
        <v>108</v>
      </c>
      <c r="B2066" s="89" t="s">
        <v>3681</v>
      </c>
      <c r="C2066" s="88" t="s">
        <v>0</v>
      </c>
      <c r="D2066" s="89"/>
      <c r="E2066" s="91">
        <v>23557</v>
      </c>
      <c r="F2066" s="88">
        <v>7</v>
      </c>
      <c r="G2066" s="89" t="s">
        <v>3701</v>
      </c>
      <c r="H2066" s="89" t="s">
        <v>3702</v>
      </c>
      <c r="I2066" s="89" t="s">
        <v>32</v>
      </c>
      <c r="J2066" s="89" t="s">
        <v>3703</v>
      </c>
      <c r="K2066" s="89" t="str">
        <f>"00049764"</f>
        <v>00049764</v>
      </c>
    </row>
    <row r="2067" spans="1:11" ht="71.25" x14ac:dyDescent="0.25">
      <c r="A2067" s="88">
        <v>108</v>
      </c>
      <c r="B2067" s="89" t="s">
        <v>2122</v>
      </c>
      <c r="C2067" s="88" t="s">
        <v>0</v>
      </c>
      <c r="D2067" s="89"/>
      <c r="E2067" s="91">
        <v>91485</v>
      </c>
      <c r="F2067" s="88">
        <v>7</v>
      </c>
      <c r="G2067" s="89" t="s">
        <v>3704</v>
      </c>
      <c r="H2067" s="89" t="s">
        <v>2124</v>
      </c>
      <c r="I2067" s="89" t="s">
        <v>17</v>
      </c>
      <c r="J2067" s="89" t="s">
        <v>2125</v>
      </c>
      <c r="K2067" s="89" t="s">
        <v>6476</v>
      </c>
    </row>
    <row r="2068" spans="1:11" ht="71.25" x14ac:dyDescent="0.25">
      <c r="A2068" s="88">
        <v>108</v>
      </c>
      <c r="B2068" s="89" t="s">
        <v>1090</v>
      </c>
      <c r="C2068" s="88" t="s">
        <v>0</v>
      </c>
      <c r="D2068" s="89"/>
      <c r="E2068" s="91">
        <v>102840</v>
      </c>
      <c r="F2068" s="88">
        <v>7</v>
      </c>
      <c r="G2068" s="89" t="s">
        <v>3699</v>
      </c>
      <c r="H2068" s="89" t="s">
        <v>3700</v>
      </c>
      <c r="I2068" s="89" t="s">
        <v>66</v>
      </c>
      <c r="J2068" s="89" t="s">
        <v>125</v>
      </c>
      <c r="K2068" s="89" t="s">
        <v>6477</v>
      </c>
    </row>
    <row r="2069" spans="1:11" ht="85.5" x14ac:dyDescent="0.25">
      <c r="A2069" s="88">
        <v>108</v>
      </c>
      <c r="B2069" s="89" t="s">
        <v>2126</v>
      </c>
      <c r="C2069" s="88" t="s">
        <v>0</v>
      </c>
      <c r="D2069" s="89"/>
      <c r="E2069" s="91">
        <v>23772</v>
      </c>
      <c r="F2069" s="88">
        <v>7</v>
      </c>
      <c r="G2069" s="89" t="s">
        <v>3705</v>
      </c>
      <c r="H2069" s="89" t="s">
        <v>2128</v>
      </c>
      <c r="I2069" s="89" t="s">
        <v>32</v>
      </c>
      <c r="J2069" s="89" t="s">
        <v>2129</v>
      </c>
      <c r="K2069" s="89" t="s">
        <v>6094</v>
      </c>
    </row>
    <row r="2070" spans="1:11" ht="71.25" x14ac:dyDescent="0.25">
      <c r="A2070" s="88">
        <v>108</v>
      </c>
      <c r="B2070" s="89" t="s">
        <v>3707</v>
      </c>
      <c r="C2070" s="88" t="s">
        <v>0</v>
      </c>
      <c r="D2070" s="89"/>
      <c r="E2070" s="91">
        <v>101962</v>
      </c>
      <c r="F2070" s="88">
        <v>7</v>
      </c>
      <c r="G2070" s="89" t="s">
        <v>3708</v>
      </c>
      <c r="H2070" s="89" t="s">
        <v>3709</v>
      </c>
      <c r="I2070" s="89" t="s">
        <v>17</v>
      </c>
      <c r="J2070" s="89" t="s">
        <v>18</v>
      </c>
      <c r="K2070" s="89" t="str">
        <f>"00050004"</f>
        <v>00050004</v>
      </c>
    </row>
    <row r="2071" spans="1:11" ht="85.5" x14ac:dyDescent="0.25">
      <c r="A2071" s="88">
        <v>108</v>
      </c>
      <c r="B2071" s="89" t="s">
        <v>3677</v>
      </c>
      <c r="C2071" s="88" t="s">
        <v>0</v>
      </c>
      <c r="D2071" s="89"/>
      <c r="E2071" s="91">
        <v>47875</v>
      </c>
      <c r="F2071" s="88">
        <v>7</v>
      </c>
      <c r="G2071" s="89" t="s">
        <v>3678</v>
      </c>
      <c r="H2071" s="89" t="s">
        <v>3679</v>
      </c>
      <c r="I2071" s="89" t="s">
        <v>66</v>
      </c>
      <c r="J2071" s="89" t="s">
        <v>3680</v>
      </c>
      <c r="K2071" s="89" t="str">
        <f>"00051858"</f>
        <v>00051858</v>
      </c>
    </row>
    <row r="2072" spans="1:11" ht="356.25" x14ac:dyDescent="0.25">
      <c r="A2072" s="88">
        <v>108</v>
      </c>
      <c r="B2072" s="89" t="s">
        <v>3681</v>
      </c>
      <c r="C2072" s="88" t="s">
        <v>0</v>
      </c>
      <c r="D2072" s="89"/>
      <c r="E2072" s="91">
        <v>139078</v>
      </c>
      <c r="F2072" s="88">
        <v>7</v>
      </c>
      <c r="G2072" s="89" t="s">
        <v>3682</v>
      </c>
      <c r="H2072" s="89" t="s">
        <v>3683</v>
      </c>
      <c r="I2072" s="89" t="s">
        <v>3684</v>
      </c>
      <c r="J2072" s="89" t="s">
        <v>3685</v>
      </c>
      <c r="K2072" s="89" t="str">
        <f>"00051119"</f>
        <v>00051119</v>
      </c>
    </row>
    <row r="2073" spans="1:11" ht="57" x14ac:dyDescent="0.25">
      <c r="A2073" s="88">
        <v>108</v>
      </c>
      <c r="B2073" s="89" t="s">
        <v>3674</v>
      </c>
      <c r="C2073" s="88" t="s">
        <v>0</v>
      </c>
      <c r="D2073" s="89"/>
      <c r="E2073" s="91">
        <v>128021</v>
      </c>
      <c r="F2073" s="88">
        <v>7</v>
      </c>
      <c r="G2073" s="89" t="s">
        <v>3675</v>
      </c>
      <c r="H2073" s="89" t="s">
        <v>3676</v>
      </c>
      <c r="I2073" s="89" t="s">
        <v>66</v>
      </c>
      <c r="J2073" s="89" t="s">
        <v>125</v>
      </c>
      <c r="K2073" s="89" t="str">
        <f>"00051561"</f>
        <v>00051561</v>
      </c>
    </row>
    <row r="2074" spans="1:11" ht="156.75" x14ac:dyDescent="0.25">
      <c r="A2074" s="88">
        <v>108</v>
      </c>
      <c r="B2074" s="89" t="s">
        <v>2152</v>
      </c>
      <c r="C2074" s="88" t="s">
        <v>0</v>
      </c>
      <c r="D2074" s="89"/>
      <c r="E2074" s="91">
        <v>39635</v>
      </c>
      <c r="F2074" s="88">
        <v>7</v>
      </c>
      <c r="G2074" s="89" t="s">
        <v>3670</v>
      </c>
      <c r="H2074" s="89" t="s">
        <v>3671</v>
      </c>
      <c r="I2074" s="89" t="s">
        <v>3672</v>
      </c>
      <c r="J2074" s="89" t="s">
        <v>3673</v>
      </c>
      <c r="K2074" s="89" t="str">
        <f>"00051656"</f>
        <v>00051656</v>
      </c>
    </row>
    <row r="2075" spans="1:11" ht="128.25" x14ac:dyDescent="0.25">
      <c r="A2075" s="88">
        <v>108</v>
      </c>
      <c r="B2075" s="89" t="s">
        <v>3690</v>
      </c>
      <c r="C2075" s="88" t="s">
        <v>0</v>
      </c>
      <c r="D2075" s="89"/>
      <c r="E2075" s="91">
        <v>7249</v>
      </c>
      <c r="F2075" s="88">
        <v>7</v>
      </c>
      <c r="G2075" s="89" t="s">
        <v>3691</v>
      </c>
      <c r="H2075" s="89" t="s">
        <v>3692</v>
      </c>
      <c r="I2075" s="89" t="s">
        <v>3693</v>
      </c>
      <c r="J2075" s="89" t="s">
        <v>3694</v>
      </c>
      <c r="K2075" s="89" t="str">
        <f>"00052454"</f>
        <v>00052454</v>
      </c>
    </row>
    <row r="2076" spans="1:11" ht="71.25" x14ac:dyDescent="0.25">
      <c r="A2076" s="88">
        <v>108</v>
      </c>
      <c r="B2076" s="89" t="s">
        <v>3686</v>
      </c>
      <c r="C2076" s="88" t="s">
        <v>0</v>
      </c>
      <c r="D2076" s="89"/>
      <c r="E2076" s="91">
        <v>37829</v>
      </c>
      <c r="F2076" s="88">
        <v>7</v>
      </c>
      <c r="G2076" s="89" t="s">
        <v>3687</v>
      </c>
      <c r="H2076" s="89" t="s">
        <v>3688</v>
      </c>
      <c r="I2076" s="89" t="s">
        <v>66</v>
      </c>
      <c r="J2076" s="89" t="s">
        <v>3689</v>
      </c>
      <c r="K2076" s="89" t="str">
        <f>"00052966"</f>
        <v>00052966</v>
      </c>
    </row>
    <row r="2077" spans="1:11" ht="128.25" x14ac:dyDescent="0.25">
      <c r="A2077" s="88">
        <v>108</v>
      </c>
      <c r="B2077" s="89" t="s">
        <v>3710</v>
      </c>
      <c r="C2077" s="88" t="s">
        <v>0</v>
      </c>
      <c r="D2077" s="89"/>
      <c r="E2077" s="91">
        <v>6528</v>
      </c>
      <c r="F2077" s="88">
        <v>7</v>
      </c>
      <c r="G2077" s="89" t="s">
        <v>3711</v>
      </c>
      <c r="H2077" s="89" t="s">
        <v>3692</v>
      </c>
      <c r="I2077" s="89" t="s">
        <v>3693</v>
      </c>
      <c r="J2077" s="89" t="s">
        <v>3694</v>
      </c>
      <c r="K2077" s="89" t="str">
        <f>"00052454"</f>
        <v>00052454</v>
      </c>
    </row>
    <row r="2078" spans="1:11" ht="42.75" x14ac:dyDescent="0.25">
      <c r="A2078" s="88">
        <v>108</v>
      </c>
      <c r="B2078" s="89" t="s">
        <v>4606</v>
      </c>
      <c r="C2078" s="88" t="s">
        <v>0</v>
      </c>
      <c r="D2078" s="89"/>
      <c r="E2078" s="91">
        <v>75074</v>
      </c>
      <c r="F2078" s="88">
        <v>7</v>
      </c>
      <c r="G2078" s="89" t="s">
        <v>4607</v>
      </c>
      <c r="H2078" s="89" t="s">
        <v>4608</v>
      </c>
      <c r="I2078" s="89" t="s">
        <v>5814</v>
      </c>
      <c r="J2078" s="89" t="s">
        <v>332</v>
      </c>
      <c r="K2078" s="89" t="str">
        <f>"00052267"</f>
        <v>00052267</v>
      </c>
    </row>
    <row r="2079" spans="1:11" ht="99.75" x14ac:dyDescent="0.25">
      <c r="A2079" s="88">
        <v>108</v>
      </c>
      <c r="B2079" s="89" t="s">
        <v>5815</v>
      </c>
      <c r="C2079" s="88" t="s">
        <v>0</v>
      </c>
      <c r="D2079" s="89"/>
      <c r="E2079" s="91">
        <v>50500</v>
      </c>
      <c r="F2079" s="88">
        <v>7</v>
      </c>
      <c r="G2079" s="89" t="s">
        <v>5816</v>
      </c>
      <c r="H2079" s="89" t="s">
        <v>5817</v>
      </c>
      <c r="I2079" s="89" t="s">
        <v>5814</v>
      </c>
      <c r="J2079" s="89" t="s">
        <v>5818</v>
      </c>
      <c r="K2079" s="89" t="s">
        <v>5819</v>
      </c>
    </row>
    <row r="2080" spans="1:11" ht="99.75" x14ac:dyDescent="0.25">
      <c r="A2080" s="88">
        <v>108</v>
      </c>
      <c r="B2080" s="89" t="s">
        <v>5815</v>
      </c>
      <c r="C2080" s="88" t="s">
        <v>0</v>
      </c>
      <c r="D2080" s="89"/>
      <c r="E2080" s="91">
        <v>63806</v>
      </c>
      <c r="F2080" s="88">
        <v>7</v>
      </c>
      <c r="G2080" s="89" t="s">
        <v>5820</v>
      </c>
      <c r="H2080" s="89" t="s">
        <v>5821</v>
      </c>
      <c r="I2080" s="89" t="s">
        <v>5822</v>
      </c>
      <c r="J2080" s="89" t="s">
        <v>5823</v>
      </c>
      <c r="K2080" s="89" t="s">
        <v>5824</v>
      </c>
    </row>
    <row r="2081" spans="1:11" ht="85.5" x14ac:dyDescent="0.25">
      <c r="A2081" s="88">
        <v>108</v>
      </c>
      <c r="B2081" s="89" t="s">
        <v>5825</v>
      </c>
      <c r="C2081" s="88" t="s">
        <v>0</v>
      </c>
      <c r="D2081" s="89"/>
      <c r="E2081" s="91">
        <v>108891</v>
      </c>
      <c r="F2081" s="88">
        <v>7</v>
      </c>
      <c r="G2081" s="89" t="s">
        <v>5826</v>
      </c>
      <c r="H2081" s="89" t="s">
        <v>5827</v>
      </c>
      <c r="I2081" s="89" t="s">
        <v>5814</v>
      </c>
      <c r="J2081" s="89" t="s">
        <v>5828</v>
      </c>
      <c r="K2081" s="89" t="s">
        <v>5829</v>
      </c>
    </row>
    <row r="2082" spans="1:11" x14ac:dyDescent="0.25">
      <c r="A2082" s="88">
        <v>108</v>
      </c>
      <c r="B2082" s="89" t="s">
        <v>883</v>
      </c>
      <c r="C2082" s="88" t="s">
        <v>0</v>
      </c>
      <c r="D2082" s="94">
        <v>27635</v>
      </c>
      <c r="E2082" s="28"/>
      <c r="F2082" s="88">
        <v>7</v>
      </c>
      <c r="G2082" s="89" t="s">
        <v>889</v>
      </c>
      <c r="H2082" s="89"/>
      <c r="I2082" s="89" t="s">
        <v>885</v>
      </c>
      <c r="J2082" s="89"/>
      <c r="K2082" s="89" t="str">
        <f>"　"</f>
        <v>　</v>
      </c>
    </row>
    <row r="2083" spans="1:11" ht="57" x14ac:dyDescent="0.25">
      <c r="A2083" s="88">
        <v>108</v>
      </c>
      <c r="B2083" s="89" t="s">
        <v>883</v>
      </c>
      <c r="C2083" s="88" t="s">
        <v>0</v>
      </c>
      <c r="D2083" s="89"/>
      <c r="E2083" s="91">
        <v>27635</v>
      </c>
      <c r="F2083" s="88">
        <v>7</v>
      </c>
      <c r="G2083" s="89" t="s">
        <v>3356</v>
      </c>
      <c r="H2083" s="89" t="s">
        <v>3357</v>
      </c>
      <c r="I2083" s="89" t="s">
        <v>763</v>
      </c>
      <c r="J2083" s="89" t="s">
        <v>1817</v>
      </c>
      <c r="K2083" s="89" t="str">
        <f>"00052323"</f>
        <v>00052323</v>
      </c>
    </row>
    <row r="2084" spans="1:11" x14ac:dyDescent="0.25">
      <c r="A2084" s="88">
        <v>108</v>
      </c>
      <c r="B2084" s="89" t="s">
        <v>883</v>
      </c>
      <c r="C2084" s="88" t="s">
        <v>0</v>
      </c>
      <c r="D2084" s="94">
        <v>30000</v>
      </c>
      <c r="E2084" s="28"/>
      <c r="F2084" s="88">
        <v>7</v>
      </c>
      <c r="G2084" s="89" t="s">
        <v>889</v>
      </c>
      <c r="H2084" s="89"/>
      <c r="I2084" s="89" t="s">
        <v>885</v>
      </c>
      <c r="J2084" s="89"/>
      <c r="K2084" s="89" t="str">
        <f>"　"</f>
        <v>　</v>
      </c>
    </row>
    <row r="2085" spans="1:11" ht="57" x14ac:dyDescent="0.25">
      <c r="A2085" s="88">
        <v>108</v>
      </c>
      <c r="B2085" s="89" t="s">
        <v>883</v>
      </c>
      <c r="C2085" s="88" t="s">
        <v>0</v>
      </c>
      <c r="D2085" s="89"/>
      <c r="E2085" s="91">
        <v>30000</v>
      </c>
      <c r="F2085" s="88">
        <v>7</v>
      </c>
      <c r="G2085" s="89" t="s">
        <v>3354</v>
      </c>
      <c r="H2085" s="89" t="s">
        <v>3355</v>
      </c>
      <c r="I2085" s="89" t="s">
        <v>161</v>
      </c>
      <c r="J2085" s="89" t="s">
        <v>1680</v>
      </c>
      <c r="K2085" s="89" t="str">
        <f>"00050063"</f>
        <v>00050063</v>
      </c>
    </row>
    <row r="2086" spans="1:11" ht="28.5" x14ac:dyDescent="0.25">
      <c r="A2086" s="88">
        <v>108</v>
      </c>
      <c r="B2086" s="89" t="s">
        <v>883</v>
      </c>
      <c r="C2086" s="88" t="s">
        <v>0</v>
      </c>
      <c r="D2086" s="94">
        <v>26493</v>
      </c>
      <c r="E2086" s="28"/>
      <c r="F2086" s="88">
        <v>7</v>
      </c>
      <c r="G2086" s="89" t="s">
        <v>892</v>
      </c>
      <c r="H2086" s="89"/>
      <c r="I2086" s="89" t="s">
        <v>885</v>
      </c>
      <c r="J2086" s="89"/>
      <c r="K2086" s="89" t="str">
        <f>"　"</f>
        <v>　</v>
      </c>
    </row>
    <row r="2087" spans="1:11" ht="42.75" x14ac:dyDescent="0.25">
      <c r="A2087" s="88">
        <v>108</v>
      </c>
      <c r="B2087" s="89" t="s">
        <v>883</v>
      </c>
      <c r="C2087" s="88" t="s">
        <v>0</v>
      </c>
      <c r="D2087" s="89"/>
      <c r="E2087" s="91">
        <v>26493</v>
      </c>
      <c r="F2087" s="88">
        <v>7</v>
      </c>
      <c r="G2087" s="89" t="s">
        <v>898</v>
      </c>
      <c r="H2087" s="89" t="s">
        <v>899</v>
      </c>
      <c r="I2087" s="89" t="s">
        <v>242</v>
      </c>
      <c r="J2087" s="89" t="s">
        <v>900</v>
      </c>
      <c r="K2087" s="89" t="str">
        <f>"00049177"</f>
        <v>00049177</v>
      </c>
    </row>
    <row r="2088" spans="1:11" ht="28.5" x14ac:dyDescent="0.25">
      <c r="A2088" s="88">
        <v>108</v>
      </c>
      <c r="B2088" s="89" t="s">
        <v>883</v>
      </c>
      <c r="C2088" s="88" t="s">
        <v>0</v>
      </c>
      <c r="D2088" s="94">
        <v>96909</v>
      </c>
      <c r="E2088" s="28"/>
      <c r="F2088" s="88">
        <v>7</v>
      </c>
      <c r="G2088" s="89" t="s">
        <v>892</v>
      </c>
      <c r="H2088" s="89"/>
      <c r="I2088" s="89" t="s">
        <v>885</v>
      </c>
      <c r="J2088" s="89"/>
      <c r="K2088" s="89" t="str">
        <f>"　"</f>
        <v>　</v>
      </c>
    </row>
    <row r="2089" spans="1:11" ht="128.25" x14ac:dyDescent="0.25">
      <c r="A2089" s="88">
        <v>108</v>
      </c>
      <c r="B2089" s="89" t="s">
        <v>883</v>
      </c>
      <c r="C2089" s="88" t="s">
        <v>0</v>
      </c>
      <c r="D2089" s="89"/>
      <c r="E2089" s="91">
        <v>96909</v>
      </c>
      <c r="F2089" s="88">
        <v>7</v>
      </c>
      <c r="G2089" s="89" t="s">
        <v>895</v>
      </c>
      <c r="H2089" s="89" t="s">
        <v>896</v>
      </c>
      <c r="I2089" s="89" t="s">
        <v>185</v>
      </c>
      <c r="J2089" s="89" t="s">
        <v>270</v>
      </c>
      <c r="K2089" s="89" t="str">
        <f>"00048090"</f>
        <v>00048090</v>
      </c>
    </row>
    <row r="2090" spans="1:11" ht="28.5" x14ac:dyDescent="0.25">
      <c r="A2090" s="88">
        <v>108</v>
      </c>
      <c r="B2090" s="89" t="s">
        <v>883</v>
      </c>
      <c r="C2090" s="88" t="s">
        <v>0</v>
      </c>
      <c r="D2090" s="94">
        <v>53473</v>
      </c>
      <c r="E2090" s="28"/>
      <c r="F2090" s="88">
        <v>7</v>
      </c>
      <c r="G2090" s="89" t="s">
        <v>892</v>
      </c>
      <c r="H2090" s="89"/>
      <c r="I2090" s="89" t="s">
        <v>885</v>
      </c>
      <c r="J2090" s="89"/>
      <c r="K2090" s="89" t="str">
        <f>"　"</f>
        <v>　</v>
      </c>
    </row>
    <row r="2091" spans="1:11" ht="85.5" x14ac:dyDescent="0.25">
      <c r="A2091" s="88">
        <v>108</v>
      </c>
      <c r="B2091" s="89" t="s">
        <v>883</v>
      </c>
      <c r="C2091" s="88" t="s">
        <v>0</v>
      </c>
      <c r="D2091" s="89"/>
      <c r="E2091" s="91">
        <v>53473</v>
      </c>
      <c r="F2091" s="88">
        <v>7</v>
      </c>
      <c r="G2091" s="89" t="s">
        <v>897</v>
      </c>
      <c r="H2091" s="89" t="s">
        <v>595</v>
      </c>
      <c r="I2091" s="89" t="s">
        <v>32</v>
      </c>
      <c r="J2091" s="89" t="s">
        <v>36</v>
      </c>
      <c r="K2091" s="89" t="str">
        <f>"00047739"</f>
        <v>00047739</v>
      </c>
    </row>
    <row r="2092" spans="1:11" ht="28.5" x14ac:dyDescent="0.25">
      <c r="A2092" s="88">
        <v>108</v>
      </c>
      <c r="B2092" s="89" t="s">
        <v>12</v>
      </c>
      <c r="C2092" s="88" t="s">
        <v>0</v>
      </c>
      <c r="D2092" s="91">
        <v>30090000</v>
      </c>
      <c r="E2092" s="28"/>
      <c r="F2092" s="88">
        <v>7</v>
      </c>
      <c r="G2092" s="89" t="s">
        <v>52</v>
      </c>
      <c r="H2092" s="89"/>
      <c r="I2092" s="89" t="s">
        <v>921</v>
      </c>
      <c r="J2092" s="89"/>
      <c r="K2092" s="89" t="str">
        <f>"　"</f>
        <v>　</v>
      </c>
    </row>
    <row r="2093" spans="1:11" ht="42.75" x14ac:dyDescent="0.25">
      <c r="A2093" s="88">
        <v>108</v>
      </c>
      <c r="B2093" s="89" t="s">
        <v>1098</v>
      </c>
      <c r="C2093" s="88" t="s">
        <v>0</v>
      </c>
      <c r="D2093" s="89"/>
      <c r="E2093" s="91">
        <v>68903</v>
      </c>
      <c r="F2093" s="88">
        <v>7</v>
      </c>
      <c r="G2093" s="89" t="s">
        <v>1099</v>
      </c>
      <c r="H2093" s="89" t="s">
        <v>682</v>
      </c>
      <c r="I2093" s="89" t="s">
        <v>201</v>
      </c>
      <c r="J2093" s="89" t="s">
        <v>1100</v>
      </c>
      <c r="K2093" s="89" t="s">
        <v>6084</v>
      </c>
    </row>
    <row r="2094" spans="1:11" ht="99.75" x14ac:dyDescent="0.25">
      <c r="A2094" s="88">
        <v>108</v>
      </c>
      <c r="B2094" s="89" t="s">
        <v>428</v>
      </c>
      <c r="C2094" s="88" t="s">
        <v>0</v>
      </c>
      <c r="D2094" s="89"/>
      <c r="E2094" s="91">
        <v>42872</v>
      </c>
      <c r="F2094" s="88">
        <v>7</v>
      </c>
      <c r="G2094" s="89" t="s">
        <v>1101</v>
      </c>
      <c r="H2094" s="89" t="s">
        <v>430</v>
      </c>
      <c r="I2094" s="89" t="s">
        <v>32</v>
      </c>
      <c r="J2094" s="89" t="s">
        <v>431</v>
      </c>
      <c r="K2094" s="89" t="s">
        <v>6083</v>
      </c>
    </row>
    <row r="2095" spans="1:11" ht="42.75" x14ac:dyDescent="0.25">
      <c r="A2095" s="88">
        <v>108</v>
      </c>
      <c r="B2095" s="89" t="s">
        <v>1098</v>
      </c>
      <c r="C2095" s="88" t="s">
        <v>0</v>
      </c>
      <c r="D2095" s="89"/>
      <c r="E2095" s="91">
        <v>39179</v>
      </c>
      <c r="F2095" s="88">
        <v>7</v>
      </c>
      <c r="G2095" s="89" t="s">
        <v>3722</v>
      </c>
      <c r="H2095" s="89" t="s">
        <v>3723</v>
      </c>
      <c r="I2095" s="89" t="s">
        <v>201</v>
      </c>
      <c r="J2095" s="89" t="s">
        <v>1100</v>
      </c>
      <c r="K2095" s="89" t="str">
        <f>"00048819"</f>
        <v>00048819</v>
      </c>
    </row>
    <row r="2096" spans="1:11" ht="57" x14ac:dyDescent="0.25">
      <c r="A2096" s="88">
        <v>108</v>
      </c>
      <c r="B2096" s="89" t="s">
        <v>1095</v>
      </c>
      <c r="C2096" s="88" t="s">
        <v>0</v>
      </c>
      <c r="D2096" s="89"/>
      <c r="E2096" s="91">
        <v>82430</v>
      </c>
      <c r="F2096" s="88">
        <v>7</v>
      </c>
      <c r="G2096" s="89" t="s">
        <v>1096</v>
      </c>
      <c r="H2096" s="89" t="s">
        <v>1097</v>
      </c>
      <c r="I2096" s="89" t="s">
        <v>80</v>
      </c>
      <c r="J2096" s="89" t="s">
        <v>80</v>
      </c>
      <c r="K2096" s="89" t="s">
        <v>6576</v>
      </c>
    </row>
    <row r="2097" spans="1:11" ht="57" x14ac:dyDescent="0.25">
      <c r="A2097" s="88">
        <v>108</v>
      </c>
      <c r="B2097" s="89" t="s">
        <v>424</v>
      </c>
      <c r="C2097" s="88" t="s">
        <v>0</v>
      </c>
      <c r="D2097" s="89"/>
      <c r="E2097" s="91">
        <v>55226</v>
      </c>
      <c r="F2097" s="88">
        <v>7</v>
      </c>
      <c r="G2097" s="89" t="s">
        <v>3724</v>
      </c>
      <c r="H2097" s="89" t="s">
        <v>3725</v>
      </c>
      <c r="I2097" s="89" t="s">
        <v>152</v>
      </c>
      <c r="J2097" s="89" t="s">
        <v>1020</v>
      </c>
      <c r="K2097" s="89" t="s">
        <v>5959</v>
      </c>
    </row>
    <row r="2098" spans="1:11" ht="42.75" x14ac:dyDescent="0.25">
      <c r="A2098" s="88">
        <v>108</v>
      </c>
      <c r="B2098" s="89" t="s">
        <v>3712</v>
      </c>
      <c r="C2098" s="88" t="s">
        <v>0</v>
      </c>
      <c r="D2098" s="89"/>
      <c r="E2098" s="91">
        <v>71797</v>
      </c>
      <c r="F2098" s="88">
        <v>7</v>
      </c>
      <c r="G2098" s="89" t="s">
        <v>5830</v>
      </c>
      <c r="H2098" s="89" t="s">
        <v>3713</v>
      </c>
      <c r="I2098" s="89" t="s">
        <v>66</v>
      </c>
      <c r="J2098" s="89" t="s">
        <v>1439</v>
      </c>
      <c r="K2098" s="89" t="s">
        <v>5958</v>
      </c>
    </row>
    <row r="2099" spans="1:11" ht="57" x14ac:dyDescent="0.25">
      <c r="A2099" s="88">
        <v>108</v>
      </c>
      <c r="B2099" s="89" t="s">
        <v>424</v>
      </c>
      <c r="C2099" s="88" t="s">
        <v>0</v>
      </c>
      <c r="D2099" s="89"/>
      <c r="E2099" s="91">
        <v>117703</v>
      </c>
      <c r="F2099" s="88">
        <v>7</v>
      </c>
      <c r="G2099" s="89" t="s">
        <v>3720</v>
      </c>
      <c r="H2099" s="89" t="s">
        <v>3721</v>
      </c>
      <c r="I2099" s="89" t="s">
        <v>152</v>
      </c>
      <c r="J2099" s="89" t="s">
        <v>1020</v>
      </c>
      <c r="K2099" s="89" t="str">
        <f>"00049514"</f>
        <v>00049514</v>
      </c>
    </row>
    <row r="2100" spans="1:11" ht="71.25" x14ac:dyDescent="0.25">
      <c r="A2100" s="88">
        <v>108</v>
      </c>
      <c r="B2100" s="89" t="s">
        <v>3716</v>
      </c>
      <c r="C2100" s="88" t="s">
        <v>0</v>
      </c>
      <c r="D2100" s="89"/>
      <c r="E2100" s="91">
        <v>122000</v>
      </c>
      <c r="F2100" s="88">
        <v>7</v>
      </c>
      <c r="G2100" s="89" t="s">
        <v>3717</v>
      </c>
      <c r="H2100" s="89" t="s">
        <v>3718</v>
      </c>
      <c r="I2100" s="89" t="s">
        <v>32</v>
      </c>
      <c r="J2100" s="89" t="s">
        <v>3719</v>
      </c>
      <c r="K2100" s="89" t="s">
        <v>6575</v>
      </c>
    </row>
    <row r="2101" spans="1:11" ht="57" x14ac:dyDescent="0.25">
      <c r="A2101" s="88">
        <v>108</v>
      </c>
      <c r="B2101" s="89" t="s">
        <v>2186</v>
      </c>
      <c r="C2101" s="88" t="s">
        <v>0</v>
      </c>
      <c r="D2101" s="89"/>
      <c r="E2101" s="91">
        <v>126479</v>
      </c>
      <c r="F2101" s="88">
        <v>7</v>
      </c>
      <c r="G2101" s="89" t="s">
        <v>3714</v>
      </c>
      <c r="H2101" s="89" t="s">
        <v>3715</v>
      </c>
      <c r="I2101" s="89" t="s">
        <v>201</v>
      </c>
      <c r="J2101" s="89" t="s">
        <v>1100</v>
      </c>
      <c r="K2101" s="89" t="s">
        <v>6574</v>
      </c>
    </row>
    <row r="2102" spans="1:11" ht="28.5" x14ac:dyDescent="0.25">
      <c r="A2102" s="88">
        <v>108</v>
      </c>
      <c r="B2102" s="89" t="s">
        <v>12</v>
      </c>
      <c r="C2102" s="88" t="s">
        <v>0</v>
      </c>
      <c r="D2102" s="91">
        <v>30090000</v>
      </c>
      <c r="E2102" s="28"/>
      <c r="F2102" s="88">
        <v>7</v>
      </c>
      <c r="G2102" s="89" t="s">
        <v>52</v>
      </c>
      <c r="H2102" s="89"/>
      <c r="I2102" s="89" t="s">
        <v>921</v>
      </c>
      <c r="J2102" s="89"/>
      <c r="K2102" s="89" t="str">
        <f>"　"</f>
        <v>　</v>
      </c>
    </row>
    <row r="2103" spans="1:11" ht="85.5" x14ac:dyDescent="0.25">
      <c r="A2103" s="88">
        <v>108</v>
      </c>
      <c r="B2103" s="89" t="s">
        <v>1110</v>
      </c>
      <c r="C2103" s="88" t="s">
        <v>0</v>
      </c>
      <c r="D2103" s="89"/>
      <c r="E2103" s="91">
        <v>100000</v>
      </c>
      <c r="F2103" s="88">
        <v>7</v>
      </c>
      <c r="G2103" s="89" t="s">
        <v>1111</v>
      </c>
      <c r="H2103" s="89" t="s">
        <v>75</v>
      </c>
      <c r="I2103" s="89" t="s">
        <v>66</v>
      </c>
      <c r="J2103" s="89" t="s">
        <v>125</v>
      </c>
      <c r="K2103" s="89" t="str">
        <f>"00046630"</f>
        <v>00046630</v>
      </c>
    </row>
    <row r="2104" spans="1:11" ht="57" x14ac:dyDescent="0.25">
      <c r="A2104" s="88">
        <v>108</v>
      </c>
      <c r="B2104" s="89" t="s">
        <v>1107</v>
      </c>
      <c r="C2104" s="88" t="s">
        <v>0</v>
      </c>
      <c r="D2104" s="89"/>
      <c r="E2104" s="91">
        <v>118859</v>
      </c>
      <c r="F2104" s="88">
        <v>7</v>
      </c>
      <c r="G2104" s="89" t="s">
        <v>1108</v>
      </c>
      <c r="H2104" s="89" t="s">
        <v>1109</v>
      </c>
      <c r="I2104" s="89" t="s">
        <v>66</v>
      </c>
      <c r="J2104" s="89" t="s">
        <v>99</v>
      </c>
      <c r="K2104" s="89" t="s">
        <v>6086</v>
      </c>
    </row>
    <row r="2105" spans="1:11" ht="71.25" x14ac:dyDescent="0.25">
      <c r="A2105" s="88">
        <v>108</v>
      </c>
      <c r="B2105" s="89" t="s">
        <v>1102</v>
      </c>
      <c r="C2105" s="88" t="s">
        <v>0</v>
      </c>
      <c r="D2105" s="89"/>
      <c r="E2105" s="91">
        <v>142771</v>
      </c>
      <c r="F2105" s="88">
        <v>7</v>
      </c>
      <c r="G2105" s="89" t="s">
        <v>1103</v>
      </c>
      <c r="H2105" s="89" t="s">
        <v>1104</v>
      </c>
      <c r="I2105" s="89" t="s">
        <v>66</v>
      </c>
      <c r="J2105" s="89" t="s">
        <v>125</v>
      </c>
      <c r="K2105" s="89" t="s">
        <v>6085</v>
      </c>
    </row>
    <row r="2106" spans="1:11" ht="71.25" x14ac:dyDescent="0.25">
      <c r="A2106" s="88">
        <v>108</v>
      </c>
      <c r="B2106" s="89" t="s">
        <v>1102</v>
      </c>
      <c r="C2106" s="88" t="s">
        <v>0</v>
      </c>
      <c r="D2106" s="89"/>
      <c r="E2106" s="91">
        <v>69035</v>
      </c>
      <c r="F2106" s="88">
        <v>7</v>
      </c>
      <c r="G2106" s="89" t="s">
        <v>1105</v>
      </c>
      <c r="H2106" s="89" t="s">
        <v>1106</v>
      </c>
      <c r="I2106" s="89" t="s">
        <v>66</v>
      </c>
      <c r="J2106" s="89" t="s">
        <v>125</v>
      </c>
      <c r="K2106" s="89" t="str">
        <f>"00046932"</f>
        <v>00046932</v>
      </c>
    </row>
    <row r="2107" spans="1:11" ht="57" x14ac:dyDescent="0.25">
      <c r="A2107" s="88">
        <v>108</v>
      </c>
      <c r="B2107" s="89" t="s">
        <v>1112</v>
      </c>
      <c r="C2107" s="88" t="s">
        <v>0</v>
      </c>
      <c r="D2107" s="89"/>
      <c r="E2107" s="91">
        <v>59332</v>
      </c>
      <c r="F2107" s="88">
        <v>7</v>
      </c>
      <c r="G2107" s="89" t="s">
        <v>1113</v>
      </c>
      <c r="H2107" s="89" t="s">
        <v>944</v>
      </c>
      <c r="I2107" s="89" t="s">
        <v>66</v>
      </c>
      <c r="J2107" s="89" t="s">
        <v>302</v>
      </c>
      <c r="K2107" s="89" t="s">
        <v>6573</v>
      </c>
    </row>
    <row r="2108" spans="1:11" ht="71.25" x14ac:dyDescent="0.25">
      <c r="A2108" s="88">
        <v>108</v>
      </c>
      <c r="B2108" s="89" t="s">
        <v>3726</v>
      </c>
      <c r="C2108" s="88" t="s">
        <v>0</v>
      </c>
      <c r="D2108" s="89"/>
      <c r="E2108" s="91">
        <v>108041</v>
      </c>
      <c r="F2108" s="88">
        <v>7</v>
      </c>
      <c r="G2108" s="89" t="s">
        <v>3727</v>
      </c>
      <c r="H2108" s="89" t="s">
        <v>2939</v>
      </c>
      <c r="I2108" s="89" t="s">
        <v>3728</v>
      </c>
      <c r="J2108" s="89" t="s">
        <v>3729</v>
      </c>
      <c r="K2108" s="89" t="s">
        <v>5961</v>
      </c>
    </row>
    <row r="2109" spans="1:11" ht="71.25" x14ac:dyDescent="0.25">
      <c r="A2109" s="88">
        <v>108</v>
      </c>
      <c r="B2109" s="89" t="s">
        <v>2217</v>
      </c>
      <c r="C2109" s="88" t="s">
        <v>0</v>
      </c>
      <c r="D2109" s="89"/>
      <c r="E2109" s="91">
        <v>25323</v>
      </c>
      <c r="F2109" s="88">
        <v>7</v>
      </c>
      <c r="G2109" s="89" t="s">
        <v>3739</v>
      </c>
      <c r="H2109" s="89" t="s">
        <v>2205</v>
      </c>
      <c r="I2109" s="89" t="s">
        <v>2206</v>
      </c>
      <c r="J2109" s="89" t="s">
        <v>2207</v>
      </c>
      <c r="K2109" s="89" t="s">
        <v>5960</v>
      </c>
    </row>
    <row r="2110" spans="1:11" ht="171" x14ac:dyDescent="0.25">
      <c r="A2110" s="88">
        <v>108</v>
      </c>
      <c r="B2110" s="89" t="s">
        <v>1112</v>
      </c>
      <c r="C2110" s="88" t="s">
        <v>0</v>
      </c>
      <c r="D2110" s="89"/>
      <c r="E2110" s="91">
        <v>73293</v>
      </c>
      <c r="F2110" s="88">
        <v>7</v>
      </c>
      <c r="G2110" s="89" t="s">
        <v>3730</v>
      </c>
      <c r="H2110" s="89" t="s">
        <v>3731</v>
      </c>
      <c r="I2110" s="89" t="s">
        <v>32</v>
      </c>
      <c r="J2110" s="89" t="s">
        <v>3732</v>
      </c>
      <c r="K2110" s="89" t="s">
        <v>6088</v>
      </c>
    </row>
    <row r="2111" spans="1:11" ht="156.75" x14ac:dyDescent="0.25">
      <c r="A2111" s="88">
        <v>108</v>
      </c>
      <c r="B2111" s="89" t="s">
        <v>2217</v>
      </c>
      <c r="C2111" s="88" t="s">
        <v>0</v>
      </c>
      <c r="D2111" s="89"/>
      <c r="E2111" s="91">
        <v>18553</v>
      </c>
      <c r="F2111" s="88">
        <v>7</v>
      </c>
      <c r="G2111" s="89" t="s">
        <v>3741</v>
      </c>
      <c r="H2111" s="89" t="s">
        <v>3742</v>
      </c>
      <c r="I2111" s="89" t="s">
        <v>94</v>
      </c>
      <c r="J2111" s="89" t="s">
        <v>355</v>
      </c>
      <c r="K2111" s="89" t="s">
        <v>6087</v>
      </c>
    </row>
    <row r="2112" spans="1:11" ht="99.75" x14ac:dyDescent="0.25">
      <c r="A2112" s="88">
        <v>108</v>
      </c>
      <c r="B2112" s="89" t="s">
        <v>2217</v>
      </c>
      <c r="C2112" s="88" t="s">
        <v>0</v>
      </c>
      <c r="D2112" s="89"/>
      <c r="E2112" s="91">
        <v>16789</v>
      </c>
      <c r="F2112" s="88">
        <v>7</v>
      </c>
      <c r="G2112" s="89" t="s">
        <v>3740</v>
      </c>
      <c r="H2112" s="89" t="s">
        <v>2219</v>
      </c>
      <c r="I2112" s="89" t="s">
        <v>106</v>
      </c>
      <c r="J2112" s="89" t="s">
        <v>755</v>
      </c>
      <c r="K2112" s="89" t="str">
        <f>"00051069"</f>
        <v>00051069</v>
      </c>
    </row>
    <row r="2113" spans="1:11" ht="114" x14ac:dyDescent="0.25">
      <c r="A2113" s="88">
        <v>108</v>
      </c>
      <c r="B2113" s="89" t="s">
        <v>2217</v>
      </c>
      <c r="C2113" s="88" t="s">
        <v>0</v>
      </c>
      <c r="D2113" s="89"/>
      <c r="E2113" s="91">
        <v>45671</v>
      </c>
      <c r="F2113" s="88">
        <v>7</v>
      </c>
      <c r="G2113" s="89" t="s">
        <v>3733</v>
      </c>
      <c r="H2113" s="89" t="s">
        <v>3734</v>
      </c>
      <c r="I2113" s="89" t="s">
        <v>32</v>
      </c>
      <c r="J2113" s="89" t="s">
        <v>3735</v>
      </c>
      <c r="K2113" s="89" t="s">
        <v>6067</v>
      </c>
    </row>
    <row r="2114" spans="1:11" ht="85.5" x14ac:dyDescent="0.25">
      <c r="A2114" s="88">
        <v>108</v>
      </c>
      <c r="B2114" s="89" t="s">
        <v>3736</v>
      </c>
      <c r="C2114" s="88" t="s">
        <v>0</v>
      </c>
      <c r="D2114" s="89"/>
      <c r="E2114" s="91">
        <v>183533</v>
      </c>
      <c r="F2114" s="88">
        <v>7</v>
      </c>
      <c r="G2114" s="89" t="s">
        <v>3737</v>
      </c>
      <c r="H2114" s="89" t="s">
        <v>3738</v>
      </c>
      <c r="I2114" s="89" t="s">
        <v>17</v>
      </c>
      <c r="J2114" s="89" t="s">
        <v>18</v>
      </c>
      <c r="K2114" s="89" t="str">
        <f>"00051586"</f>
        <v>00051586</v>
      </c>
    </row>
    <row r="2115" spans="1:11" ht="28.5" x14ac:dyDescent="0.25">
      <c r="A2115" s="88">
        <v>108</v>
      </c>
      <c r="B2115" s="89" t="s">
        <v>883</v>
      </c>
      <c r="C2115" s="88" t="s">
        <v>0</v>
      </c>
      <c r="D2115" s="94">
        <v>33779</v>
      </c>
      <c r="E2115" s="28"/>
      <c r="F2115" s="88">
        <v>7</v>
      </c>
      <c r="G2115" s="89" t="s">
        <v>892</v>
      </c>
      <c r="H2115" s="89"/>
      <c r="I2115" s="88" t="s">
        <v>885</v>
      </c>
      <c r="J2115" s="88"/>
      <c r="K2115" s="89" t="str">
        <f>"　"</f>
        <v>　</v>
      </c>
    </row>
    <row r="2116" spans="1:11" ht="42.75" x14ac:dyDescent="0.25">
      <c r="A2116" s="88">
        <v>108</v>
      </c>
      <c r="B2116" s="89" t="s">
        <v>883</v>
      </c>
      <c r="C2116" s="88" t="s">
        <v>0</v>
      </c>
      <c r="D2116" s="89"/>
      <c r="E2116" s="91">
        <v>33779</v>
      </c>
      <c r="F2116" s="88">
        <v>7</v>
      </c>
      <c r="G2116" s="89" t="s">
        <v>902</v>
      </c>
      <c r="H2116" s="89" t="s">
        <v>903</v>
      </c>
      <c r="I2116" s="89" t="s">
        <v>32</v>
      </c>
      <c r="J2116" s="89" t="s">
        <v>742</v>
      </c>
      <c r="K2116" s="89" t="str">
        <f>"00047688"</f>
        <v>00047688</v>
      </c>
    </row>
    <row r="2117" spans="1:11" ht="28.5" x14ac:dyDescent="0.25">
      <c r="A2117" s="88">
        <v>108</v>
      </c>
      <c r="B2117" s="89" t="s">
        <v>883</v>
      </c>
      <c r="C2117" s="88" t="s">
        <v>0</v>
      </c>
      <c r="D2117" s="94">
        <v>25028</v>
      </c>
      <c r="E2117" s="28"/>
      <c r="F2117" s="88">
        <v>7</v>
      </c>
      <c r="G2117" s="89" t="s">
        <v>892</v>
      </c>
      <c r="H2117" s="89"/>
      <c r="I2117" s="88" t="s">
        <v>885</v>
      </c>
      <c r="J2117" s="88"/>
      <c r="K2117" s="89" t="str">
        <f>"　"</f>
        <v>　</v>
      </c>
    </row>
    <row r="2118" spans="1:11" ht="42.75" x14ac:dyDescent="0.25">
      <c r="A2118" s="88">
        <v>108</v>
      </c>
      <c r="B2118" s="89" t="s">
        <v>883</v>
      </c>
      <c r="C2118" s="88" t="s">
        <v>0</v>
      </c>
      <c r="D2118" s="89"/>
      <c r="E2118" s="91">
        <v>25028</v>
      </c>
      <c r="F2118" s="88">
        <v>7</v>
      </c>
      <c r="G2118" s="89" t="s">
        <v>901</v>
      </c>
      <c r="H2118" s="89" t="s">
        <v>392</v>
      </c>
      <c r="I2118" s="89" t="s">
        <v>66</v>
      </c>
      <c r="J2118" s="89" t="s">
        <v>125</v>
      </c>
      <c r="K2118" s="89" t="str">
        <f>"00047721"</f>
        <v>00047721</v>
      </c>
    </row>
    <row r="2119" spans="1:11" ht="28.5" x14ac:dyDescent="0.25">
      <c r="A2119" s="88">
        <v>108</v>
      </c>
      <c r="B2119" s="89" t="s">
        <v>12</v>
      </c>
      <c r="C2119" s="88" t="s">
        <v>0</v>
      </c>
      <c r="D2119" s="91">
        <v>30090000</v>
      </c>
      <c r="E2119" s="28"/>
      <c r="F2119" s="88">
        <v>7</v>
      </c>
      <c r="G2119" s="89" t="s">
        <v>52</v>
      </c>
      <c r="H2119" s="89"/>
      <c r="I2119" s="88" t="s">
        <v>921</v>
      </c>
      <c r="J2119" s="88"/>
      <c r="K2119" s="89" t="str">
        <f>"　"</f>
        <v>　</v>
      </c>
    </row>
    <row r="2120" spans="1:11" ht="42.75" x14ac:dyDescent="0.25">
      <c r="A2120" s="88">
        <v>108</v>
      </c>
      <c r="B2120" s="89" t="s">
        <v>1117</v>
      </c>
      <c r="C2120" s="88" t="s">
        <v>0</v>
      </c>
      <c r="D2120" s="89"/>
      <c r="E2120" s="91">
        <v>68763</v>
      </c>
      <c r="F2120" s="88">
        <v>7</v>
      </c>
      <c r="G2120" s="89" t="s">
        <v>1118</v>
      </c>
      <c r="H2120" s="89" t="s">
        <v>1119</v>
      </c>
      <c r="I2120" s="89" t="s">
        <v>66</v>
      </c>
      <c r="J2120" s="89" t="s">
        <v>1120</v>
      </c>
      <c r="K2120" s="89" t="s">
        <v>6089</v>
      </c>
    </row>
    <row r="2121" spans="1:11" ht="57" x14ac:dyDescent="0.25">
      <c r="A2121" s="88">
        <v>108</v>
      </c>
      <c r="B2121" s="89" t="s">
        <v>1121</v>
      </c>
      <c r="C2121" s="88" t="s">
        <v>0</v>
      </c>
      <c r="D2121" s="89"/>
      <c r="E2121" s="91">
        <v>10205</v>
      </c>
      <c r="F2121" s="88">
        <v>7</v>
      </c>
      <c r="G2121" s="89" t="s">
        <v>1122</v>
      </c>
      <c r="H2121" s="89" t="s">
        <v>1123</v>
      </c>
      <c r="I2121" s="89" t="s">
        <v>94</v>
      </c>
      <c r="J2121" s="89" t="s">
        <v>355</v>
      </c>
      <c r="K2121" s="89" t="s">
        <v>6572</v>
      </c>
    </row>
    <row r="2122" spans="1:11" ht="85.5" x14ac:dyDescent="0.25">
      <c r="A2122" s="88">
        <v>108</v>
      </c>
      <c r="B2122" s="89" t="s">
        <v>444</v>
      </c>
      <c r="C2122" s="88" t="s">
        <v>0</v>
      </c>
      <c r="D2122" s="89"/>
      <c r="E2122" s="91">
        <v>29348</v>
      </c>
      <c r="F2122" s="88">
        <v>7</v>
      </c>
      <c r="G2122" s="89" t="s">
        <v>1139</v>
      </c>
      <c r="H2122" s="89" t="s">
        <v>1140</v>
      </c>
      <c r="I2122" s="89" t="s">
        <v>80</v>
      </c>
      <c r="J2122" s="89" t="s">
        <v>80</v>
      </c>
      <c r="K2122" s="89" t="s">
        <v>6571</v>
      </c>
    </row>
    <row r="2123" spans="1:11" ht="85.5" x14ac:dyDescent="0.25">
      <c r="A2123" s="88">
        <v>108</v>
      </c>
      <c r="B2123" s="89" t="s">
        <v>1128</v>
      </c>
      <c r="C2123" s="88" t="s">
        <v>0</v>
      </c>
      <c r="D2123" s="89"/>
      <c r="E2123" s="91">
        <v>110379</v>
      </c>
      <c r="F2123" s="88">
        <v>7</v>
      </c>
      <c r="G2123" s="89" t="s">
        <v>1129</v>
      </c>
      <c r="H2123" s="89" t="s">
        <v>1130</v>
      </c>
      <c r="I2123" s="89" t="s">
        <v>1131</v>
      </c>
      <c r="J2123" s="89" t="s">
        <v>1132</v>
      </c>
      <c r="K2123" s="89" t="s">
        <v>6570</v>
      </c>
    </row>
    <row r="2124" spans="1:11" ht="42.75" x14ac:dyDescent="0.25">
      <c r="A2124" s="88">
        <v>108</v>
      </c>
      <c r="B2124" s="89" t="s">
        <v>1124</v>
      </c>
      <c r="C2124" s="88" t="s">
        <v>0</v>
      </c>
      <c r="D2124" s="89"/>
      <c r="E2124" s="91">
        <v>73194</v>
      </c>
      <c r="F2124" s="88">
        <v>7</v>
      </c>
      <c r="G2124" s="89" t="s">
        <v>1125</v>
      </c>
      <c r="H2124" s="89" t="s">
        <v>1126</v>
      </c>
      <c r="I2124" s="89" t="s">
        <v>161</v>
      </c>
      <c r="J2124" s="89" t="s">
        <v>1127</v>
      </c>
      <c r="K2124" s="89" t="str">
        <f>"00047105"</f>
        <v>00047105</v>
      </c>
    </row>
    <row r="2125" spans="1:11" ht="57" x14ac:dyDescent="0.25">
      <c r="A2125" s="88">
        <v>108</v>
      </c>
      <c r="B2125" s="89" t="s">
        <v>1114</v>
      </c>
      <c r="C2125" s="88" t="s">
        <v>0</v>
      </c>
      <c r="D2125" s="89"/>
      <c r="E2125" s="91">
        <v>84987</v>
      </c>
      <c r="F2125" s="88">
        <v>7</v>
      </c>
      <c r="G2125" s="89" t="s">
        <v>1115</v>
      </c>
      <c r="H2125" s="89" t="s">
        <v>1116</v>
      </c>
      <c r="I2125" s="88" t="s">
        <v>66</v>
      </c>
      <c r="J2125" s="88" t="s">
        <v>125</v>
      </c>
      <c r="K2125" s="89" t="s">
        <v>5962</v>
      </c>
    </row>
    <row r="2126" spans="1:11" ht="85.5" x14ac:dyDescent="0.25">
      <c r="A2126" s="88">
        <v>108</v>
      </c>
      <c r="B2126" s="89" t="s">
        <v>1133</v>
      </c>
      <c r="C2126" s="88" t="s">
        <v>0</v>
      </c>
      <c r="D2126" s="89"/>
      <c r="E2126" s="91">
        <v>100888</v>
      </c>
      <c r="F2126" s="88">
        <v>7</v>
      </c>
      <c r="G2126" s="89" t="s">
        <v>1134</v>
      </c>
      <c r="H2126" s="89" t="s">
        <v>1135</v>
      </c>
      <c r="I2126" s="89" t="s">
        <v>66</v>
      </c>
      <c r="J2126" s="89" t="s">
        <v>1120</v>
      </c>
      <c r="K2126" s="89" t="s">
        <v>5963</v>
      </c>
    </row>
    <row r="2127" spans="1:11" ht="85.5" x14ac:dyDescent="0.25">
      <c r="A2127" s="88">
        <v>108</v>
      </c>
      <c r="B2127" s="89" t="s">
        <v>3749</v>
      </c>
      <c r="C2127" s="88" t="s">
        <v>0</v>
      </c>
      <c r="D2127" s="89"/>
      <c r="E2127" s="91">
        <v>21580</v>
      </c>
      <c r="F2127" s="88">
        <v>7</v>
      </c>
      <c r="G2127" s="89" t="s">
        <v>3750</v>
      </c>
      <c r="H2127" s="89" t="s">
        <v>3751</v>
      </c>
      <c r="I2127" s="89" t="s">
        <v>173</v>
      </c>
      <c r="J2127" s="89" t="s">
        <v>2830</v>
      </c>
      <c r="K2127" s="89" t="str">
        <f>"00052218"</f>
        <v>00052218</v>
      </c>
    </row>
    <row r="2128" spans="1:11" ht="57" x14ac:dyDescent="0.25">
      <c r="A2128" s="88">
        <v>108</v>
      </c>
      <c r="B2128" s="89" t="s">
        <v>1114</v>
      </c>
      <c r="C2128" s="88" t="s">
        <v>0</v>
      </c>
      <c r="D2128" s="89"/>
      <c r="E2128" s="91">
        <v>84338</v>
      </c>
      <c r="F2128" s="88">
        <v>7</v>
      </c>
      <c r="G2128" s="89" t="s">
        <v>1136</v>
      </c>
      <c r="H2128" s="89" t="s">
        <v>1137</v>
      </c>
      <c r="I2128" s="89" t="s">
        <v>763</v>
      </c>
      <c r="J2128" s="89" t="s">
        <v>1138</v>
      </c>
      <c r="K2128" s="89" t="s">
        <v>6090</v>
      </c>
    </row>
    <row r="2129" spans="1:11" ht="42.75" x14ac:dyDescent="0.25">
      <c r="A2129" s="88">
        <v>108</v>
      </c>
      <c r="B2129" s="89" t="s">
        <v>3746</v>
      </c>
      <c r="C2129" s="88" t="s">
        <v>0</v>
      </c>
      <c r="D2129" s="89"/>
      <c r="E2129" s="91">
        <v>10000</v>
      </c>
      <c r="F2129" s="88">
        <v>7</v>
      </c>
      <c r="G2129" s="89" t="s">
        <v>3747</v>
      </c>
      <c r="H2129" s="89" t="s">
        <v>3748</v>
      </c>
      <c r="I2129" s="89" t="s">
        <v>80</v>
      </c>
      <c r="J2129" s="89" t="s">
        <v>80</v>
      </c>
      <c r="K2129" s="89" t="str">
        <f>"00049897"</f>
        <v>00049897</v>
      </c>
    </row>
    <row r="2130" spans="1:11" ht="85.5" x14ac:dyDescent="0.25">
      <c r="A2130" s="88">
        <v>108</v>
      </c>
      <c r="B2130" s="89" t="s">
        <v>444</v>
      </c>
      <c r="C2130" s="88" t="s">
        <v>0</v>
      </c>
      <c r="D2130" s="89"/>
      <c r="E2130" s="91">
        <v>145300</v>
      </c>
      <c r="F2130" s="88">
        <v>7</v>
      </c>
      <c r="G2130" s="89" t="s">
        <v>3743</v>
      </c>
      <c r="H2130" s="89" t="s">
        <v>3744</v>
      </c>
      <c r="I2130" s="89" t="s">
        <v>32</v>
      </c>
      <c r="J2130" s="89" t="s">
        <v>3745</v>
      </c>
      <c r="K2130" s="89" t="s">
        <v>6569</v>
      </c>
    </row>
    <row r="2131" spans="1:11" ht="57" x14ac:dyDescent="0.25">
      <c r="A2131" s="88">
        <v>108</v>
      </c>
      <c r="B2131" s="89" t="s">
        <v>1114</v>
      </c>
      <c r="C2131" s="88" t="s">
        <v>0</v>
      </c>
      <c r="D2131" s="89"/>
      <c r="E2131" s="91">
        <v>102556</v>
      </c>
      <c r="F2131" s="88">
        <v>7</v>
      </c>
      <c r="G2131" s="89" t="s">
        <v>3755</v>
      </c>
      <c r="H2131" s="89" t="s">
        <v>2833</v>
      </c>
      <c r="I2131" s="89" t="s">
        <v>763</v>
      </c>
      <c r="J2131" s="89" t="s">
        <v>1138</v>
      </c>
      <c r="K2131" s="89" t="s">
        <v>6568</v>
      </c>
    </row>
    <row r="2132" spans="1:11" x14ac:dyDescent="0.25">
      <c r="A2132" s="88"/>
      <c r="B2132" s="89"/>
      <c r="C2132" s="88"/>
      <c r="D2132" s="89"/>
      <c r="E2132" s="91"/>
      <c r="F2132" s="88"/>
      <c r="G2132" s="89"/>
      <c r="H2132" s="89"/>
      <c r="I2132" s="89"/>
      <c r="J2132" s="89"/>
      <c r="K2132" s="89"/>
    </row>
    <row r="2133" spans="1:11" x14ac:dyDescent="0.25">
      <c r="A2133" s="88"/>
      <c r="B2133" s="89"/>
      <c r="C2133" s="88"/>
      <c r="D2133" s="89"/>
      <c r="E2133" s="91"/>
      <c r="F2133" s="88"/>
      <c r="G2133" s="89"/>
      <c r="H2133" s="89"/>
      <c r="I2133" s="89"/>
      <c r="J2133" s="89"/>
      <c r="K2133" s="89"/>
    </row>
    <row r="2134" spans="1:11" ht="42.75" x14ac:dyDescent="0.25">
      <c r="A2134" s="88">
        <v>108</v>
      </c>
      <c r="B2134" s="89" t="s">
        <v>3752</v>
      </c>
      <c r="C2134" s="88" t="s">
        <v>0</v>
      </c>
      <c r="D2134" s="89"/>
      <c r="E2134" s="91">
        <v>43266</v>
      </c>
      <c r="F2134" s="88">
        <v>7</v>
      </c>
      <c r="G2134" s="89" t="s">
        <v>3753</v>
      </c>
      <c r="H2134" s="89" t="s">
        <v>3754</v>
      </c>
      <c r="I2134" s="89" t="s">
        <v>80</v>
      </c>
      <c r="J2134" s="89" t="s">
        <v>80</v>
      </c>
      <c r="K2134" s="89" t="str">
        <f>"00051777"</f>
        <v>00051777</v>
      </c>
    </row>
    <row r="2135" spans="1:11" ht="42.75" x14ac:dyDescent="0.25">
      <c r="A2135" s="88">
        <v>108</v>
      </c>
      <c r="B2135" s="89" t="s">
        <v>3746</v>
      </c>
      <c r="C2135" s="88" t="s">
        <v>0</v>
      </c>
      <c r="D2135" s="89"/>
      <c r="E2135" s="91">
        <v>48000</v>
      </c>
      <c r="F2135" s="88">
        <v>7</v>
      </c>
      <c r="G2135" s="89" t="s">
        <v>3756</v>
      </c>
      <c r="H2135" s="89" t="s">
        <v>3757</v>
      </c>
      <c r="I2135" s="89" t="s">
        <v>242</v>
      </c>
      <c r="J2135" s="89" t="s">
        <v>1919</v>
      </c>
      <c r="K2135" s="89" t="str">
        <f>"00051509"</f>
        <v>00051509</v>
      </c>
    </row>
    <row r="2136" spans="1:11" ht="42.75" x14ac:dyDescent="0.25">
      <c r="A2136" s="88">
        <v>108</v>
      </c>
      <c r="B2136" s="89" t="s">
        <v>4670</v>
      </c>
      <c r="C2136" s="88" t="s">
        <v>0</v>
      </c>
      <c r="D2136" s="89"/>
      <c r="E2136" s="91">
        <v>5881</v>
      </c>
      <c r="F2136" s="88">
        <v>7</v>
      </c>
      <c r="G2136" s="89" t="s">
        <v>1125</v>
      </c>
      <c r="H2136" s="89" t="s">
        <v>1126</v>
      </c>
      <c r="I2136" s="89" t="s">
        <v>161</v>
      </c>
      <c r="J2136" s="89" t="s">
        <v>1127</v>
      </c>
      <c r="K2136" s="89" t="str">
        <f>"00047105"</f>
        <v>00047105</v>
      </c>
    </row>
    <row r="2137" spans="1:11" x14ac:dyDescent="0.25">
      <c r="A2137" s="88">
        <v>108</v>
      </c>
      <c r="B2137" s="89" t="s">
        <v>883</v>
      </c>
      <c r="C2137" s="88" t="s">
        <v>0</v>
      </c>
      <c r="D2137" s="94">
        <v>23003</v>
      </c>
      <c r="E2137" s="28"/>
      <c r="F2137" s="88">
        <v>7</v>
      </c>
      <c r="G2137" s="89" t="s">
        <v>889</v>
      </c>
      <c r="H2137" s="89"/>
      <c r="I2137" s="89" t="s">
        <v>885</v>
      </c>
      <c r="J2137" s="89"/>
      <c r="K2137" s="89" t="str">
        <f>"　"</f>
        <v>　</v>
      </c>
    </row>
    <row r="2138" spans="1:11" ht="114" x14ac:dyDescent="0.25">
      <c r="A2138" s="88">
        <v>108</v>
      </c>
      <c r="B2138" s="89" t="s">
        <v>883</v>
      </c>
      <c r="C2138" s="88" t="s">
        <v>0</v>
      </c>
      <c r="D2138" s="89"/>
      <c r="E2138" s="91">
        <v>23003</v>
      </c>
      <c r="F2138" s="88">
        <v>7</v>
      </c>
      <c r="G2138" s="89" t="s">
        <v>3358</v>
      </c>
      <c r="H2138" s="89" t="s">
        <v>3359</v>
      </c>
      <c r="I2138" s="89" t="s">
        <v>32</v>
      </c>
      <c r="J2138" s="89" t="s">
        <v>36</v>
      </c>
      <c r="K2138" s="89" t="str">
        <f>"00053062"</f>
        <v>00053062</v>
      </c>
    </row>
    <row r="2139" spans="1:11" ht="28.5" x14ac:dyDescent="0.25">
      <c r="A2139" s="88">
        <v>108</v>
      </c>
      <c r="B2139" s="89" t="s">
        <v>12</v>
      </c>
      <c r="C2139" s="88" t="s">
        <v>0</v>
      </c>
      <c r="D2139" s="91">
        <v>30090000</v>
      </c>
      <c r="E2139" s="28"/>
      <c r="F2139" s="88">
        <v>7</v>
      </c>
      <c r="G2139" s="89" t="s">
        <v>52</v>
      </c>
      <c r="H2139" s="89"/>
      <c r="I2139" s="89" t="s">
        <v>921</v>
      </c>
      <c r="J2139" s="89"/>
      <c r="K2139" s="89" t="str">
        <f>"　"</f>
        <v>　</v>
      </c>
    </row>
    <row r="2140" spans="1:11" ht="42.75" x14ac:dyDescent="0.25">
      <c r="A2140" s="88">
        <v>108</v>
      </c>
      <c r="B2140" s="89" t="s">
        <v>1146</v>
      </c>
      <c r="C2140" s="88" t="s">
        <v>0</v>
      </c>
      <c r="D2140" s="89"/>
      <c r="E2140" s="91">
        <v>155380</v>
      </c>
      <c r="F2140" s="88">
        <v>7</v>
      </c>
      <c r="G2140" s="89" t="s">
        <v>1147</v>
      </c>
      <c r="H2140" s="89" t="s">
        <v>1148</v>
      </c>
      <c r="I2140" s="89" t="s">
        <v>66</v>
      </c>
      <c r="J2140" s="89" t="s">
        <v>125</v>
      </c>
      <c r="K2140" s="89" t="str">
        <f>"00047205"</f>
        <v>00047205</v>
      </c>
    </row>
    <row r="2141" spans="1:11" ht="42.75" x14ac:dyDescent="0.25">
      <c r="A2141" s="88">
        <v>108</v>
      </c>
      <c r="B2141" s="89" t="s">
        <v>1141</v>
      </c>
      <c r="C2141" s="88" t="s">
        <v>0</v>
      </c>
      <c r="D2141" s="89"/>
      <c r="E2141" s="91">
        <v>90893</v>
      </c>
      <c r="F2141" s="88">
        <v>7</v>
      </c>
      <c r="G2141" s="89" t="s">
        <v>1142</v>
      </c>
      <c r="H2141" s="89" t="s">
        <v>1143</v>
      </c>
      <c r="I2141" s="89" t="s">
        <v>1144</v>
      </c>
      <c r="J2141" s="89" t="s">
        <v>1145</v>
      </c>
      <c r="K2141" s="89" t="str">
        <f>"00047248"</f>
        <v>00047248</v>
      </c>
    </row>
    <row r="2142" spans="1:11" ht="42.75" x14ac:dyDescent="0.25">
      <c r="A2142" s="88">
        <v>108</v>
      </c>
      <c r="B2142" s="89" t="s">
        <v>1149</v>
      </c>
      <c r="C2142" s="88" t="s">
        <v>0</v>
      </c>
      <c r="D2142" s="89"/>
      <c r="E2142" s="91">
        <v>187707</v>
      </c>
      <c r="F2142" s="88">
        <v>7</v>
      </c>
      <c r="G2142" s="89" t="s">
        <v>3767</v>
      </c>
      <c r="H2142" s="89" t="s">
        <v>3768</v>
      </c>
      <c r="I2142" s="89" t="s">
        <v>17</v>
      </c>
      <c r="J2142" s="89" t="s">
        <v>18</v>
      </c>
      <c r="K2142" s="89" t="str">
        <f>"00048053"</f>
        <v>00048053</v>
      </c>
    </row>
    <row r="2143" spans="1:11" ht="42.75" x14ac:dyDescent="0.25">
      <c r="A2143" s="88">
        <v>108</v>
      </c>
      <c r="B2143" s="89" t="s">
        <v>1149</v>
      </c>
      <c r="C2143" s="88" t="s">
        <v>0</v>
      </c>
      <c r="D2143" s="89"/>
      <c r="E2143" s="91">
        <v>202460</v>
      </c>
      <c r="F2143" s="88">
        <v>7</v>
      </c>
      <c r="G2143" s="89" t="s">
        <v>1150</v>
      </c>
      <c r="H2143" s="89" t="s">
        <v>1151</v>
      </c>
      <c r="I2143" s="89" t="s">
        <v>17</v>
      </c>
      <c r="J2143" s="89" t="s">
        <v>18</v>
      </c>
      <c r="K2143" s="89" t="str">
        <f>"00046801"</f>
        <v>00046801</v>
      </c>
    </row>
    <row r="2144" spans="1:11" ht="42.75" x14ac:dyDescent="0.25">
      <c r="A2144" s="88">
        <v>108</v>
      </c>
      <c r="B2144" s="89" t="s">
        <v>3769</v>
      </c>
      <c r="C2144" s="88" t="s">
        <v>0</v>
      </c>
      <c r="D2144" s="89"/>
      <c r="E2144" s="91">
        <v>94920</v>
      </c>
      <c r="F2144" s="88">
        <v>7</v>
      </c>
      <c r="G2144" s="89" t="s">
        <v>3770</v>
      </c>
      <c r="H2144" s="89" t="s">
        <v>3771</v>
      </c>
      <c r="I2144" s="89" t="s">
        <v>17</v>
      </c>
      <c r="J2144" s="89" t="s">
        <v>18</v>
      </c>
      <c r="K2144" s="89" t="str">
        <f>"00050142"</f>
        <v>00050142</v>
      </c>
    </row>
    <row r="2145" spans="1:11" ht="57" x14ac:dyDescent="0.25">
      <c r="A2145" s="88">
        <v>108</v>
      </c>
      <c r="B2145" s="89" t="s">
        <v>2255</v>
      </c>
      <c r="C2145" s="88" t="s">
        <v>0</v>
      </c>
      <c r="D2145" s="89"/>
      <c r="E2145" s="91">
        <v>27492</v>
      </c>
      <c r="F2145" s="88">
        <v>7</v>
      </c>
      <c r="G2145" s="89" t="s">
        <v>3763</v>
      </c>
      <c r="H2145" s="89" t="s">
        <v>2257</v>
      </c>
      <c r="I2145" s="89" t="s">
        <v>763</v>
      </c>
      <c r="J2145" s="89" t="s">
        <v>2258</v>
      </c>
      <c r="K2145" s="89" t="str">
        <f>"00048192"</f>
        <v>00048192</v>
      </c>
    </row>
    <row r="2146" spans="1:11" ht="57" x14ac:dyDescent="0.25">
      <c r="A2146" s="88">
        <v>108</v>
      </c>
      <c r="B2146" s="89" t="s">
        <v>2262</v>
      </c>
      <c r="C2146" s="88" t="s">
        <v>0</v>
      </c>
      <c r="D2146" s="89"/>
      <c r="E2146" s="91">
        <v>51865</v>
      </c>
      <c r="F2146" s="88">
        <v>7</v>
      </c>
      <c r="G2146" s="89" t="s">
        <v>3764</v>
      </c>
      <c r="H2146" s="89" t="s">
        <v>3765</v>
      </c>
      <c r="I2146" s="89" t="s">
        <v>17</v>
      </c>
      <c r="J2146" s="89" t="s">
        <v>3766</v>
      </c>
      <c r="K2146" s="89" t="str">
        <f>"00050717"</f>
        <v>00050717</v>
      </c>
    </row>
    <row r="2147" spans="1:11" ht="114" x14ac:dyDescent="0.25">
      <c r="A2147" s="88">
        <v>108</v>
      </c>
      <c r="B2147" s="89" t="s">
        <v>5428</v>
      </c>
      <c r="C2147" s="88" t="s">
        <v>0</v>
      </c>
      <c r="D2147" s="89"/>
      <c r="E2147" s="91">
        <v>98554</v>
      </c>
      <c r="F2147" s="88">
        <v>7</v>
      </c>
      <c r="G2147" s="89" t="s">
        <v>5429</v>
      </c>
      <c r="H2147" s="89" t="s">
        <v>5430</v>
      </c>
      <c r="I2147" s="89" t="s">
        <v>32</v>
      </c>
      <c r="J2147" s="89" t="s">
        <v>5431</v>
      </c>
      <c r="K2147" s="89" t="s">
        <v>6567</v>
      </c>
    </row>
    <row r="2148" spans="1:11" ht="85.5" x14ac:dyDescent="0.25">
      <c r="A2148" s="88">
        <v>108</v>
      </c>
      <c r="B2148" s="89" t="s">
        <v>3758</v>
      </c>
      <c r="C2148" s="88" t="s">
        <v>0</v>
      </c>
      <c r="D2148" s="89"/>
      <c r="E2148" s="91">
        <v>56526</v>
      </c>
      <c r="F2148" s="88">
        <v>7</v>
      </c>
      <c r="G2148" s="89" t="s">
        <v>3759</v>
      </c>
      <c r="H2148" s="89" t="s">
        <v>3367</v>
      </c>
      <c r="I2148" s="89" t="s">
        <v>32</v>
      </c>
      <c r="J2148" s="89" t="s">
        <v>3760</v>
      </c>
      <c r="K2148" s="89" t="s">
        <v>5964</v>
      </c>
    </row>
    <row r="2149" spans="1:11" ht="71.25" x14ac:dyDescent="0.25">
      <c r="A2149" s="88">
        <v>108</v>
      </c>
      <c r="B2149" s="89" t="s">
        <v>1146</v>
      </c>
      <c r="C2149" s="88" t="s">
        <v>0</v>
      </c>
      <c r="D2149" s="89"/>
      <c r="E2149" s="91">
        <v>188891</v>
      </c>
      <c r="F2149" s="88">
        <v>7</v>
      </c>
      <c r="G2149" s="89" t="s">
        <v>3761</v>
      </c>
      <c r="H2149" s="89" t="s">
        <v>3762</v>
      </c>
      <c r="I2149" s="89" t="s">
        <v>32</v>
      </c>
      <c r="J2149" s="89" t="s">
        <v>423</v>
      </c>
      <c r="K2149" s="89" t="str">
        <f>"00048738"</f>
        <v>00048738</v>
      </c>
    </row>
    <row r="2150" spans="1:11" ht="71.25" x14ac:dyDescent="0.25">
      <c r="A2150" s="88">
        <v>108</v>
      </c>
      <c r="B2150" s="89" t="s">
        <v>4541</v>
      </c>
      <c r="C2150" s="88" t="s">
        <v>0</v>
      </c>
      <c r="D2150" s="89"/>
      <c r="E2150" s="91">
        <v>2098</v>
      </c>
      <c r="F2150" s="88">
        <v>7</v>
      </c>
      <c r="G2150" s="89" t="s">
        <v>4651</v>
      </c>
      <c r="H2150" s="89" t="s">
        <v>4652</v>
      </c>
      <c r="I2150" s="89" t="s">
        <v>32</v>
      </c>
      <c r="J2150" s="89" t="s">
        <v>36</v>
      </c>
      <c r="K2150" s="89" t="str">
        <f>"00048547"</f>
        <v>00048547</v>
      </c>
    </row>
    <row r="2151" spans="1:11" ht="42.75" x14ac:dyDescent="0.25">
      <c r="A2151" s="88">
        <v>108</v>
      </c>
      <c r="B2151" s="89" t="s">
        <v>4657</v>
      </c>
      <c r="C2151" s="88" t="s">
        <v>0</v>
      </c>
      <c r="D2151" s="89"/>
      <c r="E2151" s="91">
        <v>51349</v>
      </c>
      <c r="F2151" s="88">
        <v>7</v>
      </c>
      <c r="G2151" s="89" t="s">
        <v>4657</v>
      </c>
      <c r="H2151" s="89" t="s">
        <v>4658</v>
      </c>
      <c r="I2151" s="89" t="s">
        <v>106</v>
      </c>
      <c r="J2151" s="89" t="s">
        <v>755</v>
      </c>
      <c r="K2151" s="89" t="str">
        <f>"00047632"</f>
        <v>00047632</v>
      </c>
    </row>
    <row r="2152" spans="1:11" ht="28.5" x14ac:dyDescent="0.25">
      <c r="A2152" s="88">
        <v>108</v>
      </c>
      <c r="B2152" s="89" t="s">
        <v>12</v>
      </c>
      <c r="C2152" s="88" t="s">
        <v>0</v>
      </c>
      <c r="D2152" s="91">
        <v>30090000</v>
      </c>
      <c r="E2152" s="28"/>
      <c r="F2152" s="88">
        <v>7</v>
      </c>
      <c r="G2152" s="89" t="s">
        <v>52</v>
      </c>
      <c r="H2152" s="89"/>
      <c r="I2152" s="89" t="s">
        <v>921</v>
      </c>
      <c r="J2152" s="89"/>
      <c r="K2152" s="89" t="str">
        <f>"　"</f>
        <v>　</v>
      </c>
    </row>
    <row r="2153" spans="1:11" ht="85.5" x14ac:dyDescent="0.25">
      <c r="A2153" s="88">
        <v>108</v>
      </c>
      <c r="B2153" s="89" t="s">
        <v>1191</v>
      </c>
      <c r="C2153" s="88" t="s">
        <v>0</v>
      </c>
      <c r="D2153" s="89"/>
      <c r="E2153" s="91">
        <v>82178</v>
      </c>
      <c r="F2153" s="88">
        <v>7</v>
      </c>
      <c r="G2153" s="89" t="s">
        <v>1192</v>
      </c>
      <c r="H2153" s="89" t="s">
        <v>1193</v>
      </c>
      <c r="I2153" s="89" t="s">
        <v>66</v>
      </c>
      <c r="J2153" s="89" t="s">
        <v>1194</v>
      </c>
      <c r="K2153" s="89" t="str">
        <f>"00047034"</f>
        <v>00047034</v>
      </c>
    </row>
    <row r="2154" spans="1:11" ht="71.25" x14ac:dyDescent="0.25">
      <c r="A2154" s="88">
        <v>108</v>
      </c>
      <c r="B2154" s="89" t="s">
        <v>1198</v>
      </c>
      <c r="C2154" s="88" t="s">
        <v>0</v>
      </c>
      <c r="D2154" s="89"/>
      <c r="E2154" s="91">
        <v>49376</v>
      </c>
      <c r="F2154" s="88">
        <v>7</v>
      </c>
      <c r="G2154" s="89" t="s">
        <v>1199</v>
      </c>
      <c r="H2154" s="89" t="s">
        <v>1200</v>
      </c>
      <c r="I2154" s="89" t="s">
        <v>32</v>
      </c>
      <c r="J2154" s="89" t="s">
        <v>423</v>
      </c>
      <c r="K2154" s="89" t="str">
        <f>"00046954"</f>
        <v>00046954</v>
      </c>
    </row>
    <row r="2155" spans="1:11" ht="57" x14ac:dyDescent="0.25">
      <c r="A2155" s="88">
        <v>108</v>
      </c>
      <c r="B2155" s="89" t="s">
        <v>3848</v>
      </c>
      <c r="C2155" s="88" t="s">
        <v>0</v>
      </c>
      <c r="D2155" s="89"/>
      <c r="E2155" s="91">
        <v>154015</v>
      </c>
      <c r="F2155" s="88">
        <v>7</v>
      </c>
      <c r="G2155" s="89" t="s">
        <v>3849</v>
      </c>
      <c r="H2155" s="89" t="s">
        <v>3850</v>
      </c>
      <c r="I2155" s="89" t="s">
        <v>32</v>
      </c>
      <c r="J2155" s="89" t="s">
        <v>84</v>
      </c>
      <c r="K2155" s="89" t="s">
        <v>6566</v>
      </c>
    </row>
    <row r="2156" spans="1:11" ht="42.75" x14ac:dyDescent="0.25">
      <c r="A2156" s="88">
        <v>108</v>
      </c>
      <c r="B2156" s="89" t="s">
        <v>3843</v>
      </c>
      <c r="C2156" s="88" t="s">
        <v>0</v>
      </c>
      <c r="D2156" s="89"/>
      <c r="E2156" s="91">
        <v>45000</v>
      </c>
      <c r="F2156" s="88">
        <v>7</v>
      </c>
      <c r="G2156" s="89" t="s">
        <v>3846</v>
      </c>
      <c r="H2156" s="89" t="s">
        <v>3847</v>
      </c>
      <c r="I2156" s="89" t="s">
        <v>66</v>
      </c>
      <c r="J2156" s="89" t="s">
        <v>125</v>
      </c>
      <c r="K2156" s="89" t="str">
        <f>"00049018"</f>
        <v>00049018</v>
      </c>
    </row>
    <row r="2157" spans="1:11" ht="99.75" x14ac:dyDescent="0.25">
      <c r="A2157" s="88">
        <v>108</v>
      </c>
      <c r="B2157" s="89" t="s">
        <v>3851</v>
      </c>
      <c r="C2157" s="88" t="s">
        <v>0</v>
      </c>
      <c r="D2157" s="89"/>
      <c r="E2157" s="91">
        <v>150000</v>
      </c>
      <c r="F2157" s="88">
        <v>7</v>
      </c>
      <c r="G2157" s="89" t="s">
        <v>3852</v>
      </c>
      <c r="H2157" s="89" t="s">
        <v>3853</v>
      </c>
      <c r="I2157" s="89" t="s">
        <v>32</v>
      </c>
      <c r="J2157" s="89" t="s">
        <v>3854</v>
      </c>
      <c r="K2157" s="89" t="s">
        <v>6565</v>
      </c>
    </row>
    <row r="2158" spans="1:11" ht="42.75" x14ac:dyDescent="0.25">
      <c r="A2158" s="88">
        <v>108</v>
      </c>
      <c r="B2158" s="89" t="s">
        <v>1195</v>
      </c>
      <c r="C2158" s="88" t="s">
        <v>0</v>
      </c>
      <c r="D2158" s="89"/>
      <c r="E2158" s="91">
        <v>80000</v>
      </c>
      <c r="F2158" s="88">
        <v>7</v>
      </c>
      <c r="G2158" s="89" t="s">
        <v>1196</v>
      </c>
      <c r="H2158" s="89" t="s">
        <v>1197</v>
      </c>
      <c r="I2158" s="89" t="s">
        <v>106</v>
      </c>
      <c r="J2158" s="89" t="s">
        <v>107</v>
      </c>
      <c r="K2158" s="89" t="str">
        <f>"00048055"</f>
        <v>00048055</v>
      </c>
    </row>
    <row r="2159" spans="1:11" ht="57" x14ac:dyDescent="0.25">
      <c r="A2159" s="88">
        <v>108</v>
      </c>
      <c r="B2159" s="89" t="s">
        <v>3840</v>
      </c>
      <c r="C2159" s="88" t="s">
        <v>0</v>
      </c>
      <c r="D2159" s="89"/>
      <c r="E2159" s="91">
        <v>129388</v>
      </c>
      <c r="F2159" s="88">
        <v>7</v>
      </c>
      <c r="G2159" s="89" t="s">
        <v>3841</v>
      </c>
      <c r="H2159" s="89" t="s">
        <v>2176</v>
      </c>
      <c r="I2159" s="89" t="s">
        <v>66</v>
      </c>
      <c r="J2159" s="89" t="s">
        <v>3842</v>
      </c>
      <c r="K2159" s="89" t="str">
        <f>"00050213"</f>
        <v>00050213</v>
      </c>
    </row>
    <row r="2160" spans="1:11" ht="57" x14ac:dyDescent="0.25">
      <c r="A2160" s="88">
        <v>108</v>
      </c>
      <c r="B2160" s="89" t="s">
        <v>2706</v>
      </c>
      <c r="C2160" s="88" t="s">
        <v>0</v>
      </c>
      <c r="D2160" s="89"/>
      <c r="E2160" s="91">
        <v>49866</v>
      </c>
      <c r="F2160" s="88">
        <v>7</v>
      </c>
      <c r="G2160" s="89" t="s">
        <v>3836</v>
      </c>
      <c r="H2160" s="89" t="s">
        <v>2822</v>
      </c>
      <c r="I2160" s="89" t="s">
        <v>17</v>
      </c>
      <c r="J2160" s="89" t="s">
        <v>18</v>
      </c>
      <c r="K2160" s="89" t="s">
        <v>6068</v>
      </c>
    </row>
    <row r="2161" spans="1:11" ht="42.75" x14ac:dyDescent="0.25">
      <c r="A2161" s="88">
        <v>108</v>
      </c>
      <c r="B2161" s="89" t="s">
        <v>3843</v>
      </c>
      <c r="C2161" s="88" t="s">
        <v>0</v>
      </c>
      <c r="D2161" s="89"/>
      <c r="E2161" s="91">
        <v>25000</v>
      </c>
      <c r="F2161" s="88">
        <v>7</v>
      </c>
      <c r="G2161" s="89" t="s">
        <v>3844</v>
      </c>
      <c r="H2161" s="89" t="s">
        <v>3845</v>
      </c>
      <c r="I2161" s="89" t="s">
        <v>66</v>
      </c>
      <c r="J2161" s="89" t="s">
        <v>67</v>
      </c>
      <c r="K2161" s="89" t="s">
        <v>6091</v>
      </c>
    </row>
    <row r="2162" spans="1:11" ht="42.75" x14ac:dyDescent="0.25">
      <c r="A2162" s="88">
        <v>108</v>
      </c>
      <c r="B2162" s="89" t="s">
        <v>2701</v>
      </c>
      <c r="C2162" s="88" t="s">
        <v>0</v>
      </c>
      <c r="D2162" s="89"/>
      <c r="E2162" s="91">
        <v>100000</v>
      </c>
      <c r="F2162" s="88">
        <v>7</v>
      </c>
      <c r="G2162" s="89" t="s">
        <v>3829</v>
      </c>
      <c r="H2162" s="89" t="s">
        <v>3830</v>
      </c>
      <c r="I2162" s="89" t="s">
        <v>237</v>
      </c>
      <c r="J2162" s="89" t="s">
        <v>3831</v>
      </c>
      <c r="K2162" s="89" t="str">
        <f>"00047805"</f>
        <v>00047805</v>
      </c>
    </row>
    <row r="2163" spans="1:11" ht="42.75" x14ac:dyDescent="0.25">
      <c r="A2163" s="88">
        <v>108</v>
      </c>
      <c r="B2163" s="89" t="s">
        <v>3832</v>
      </c>
      <c r="C2163" s="88" t="s">
        <v>0</v>
      </c>
      <c r="D2163" s="89"/>
      <c r="E2163" s="91">
        <v>215874</v>
      </c>
      <c r="F2163" s="88">
        <v>7</v>
      </c>
      <c r="G2163" s="89" t="s">
        <v>3833</v>
      </c>
      <c r="H2163" s="89" t="s">
        <v>3834</v>
      </c>
      <c r="I2163" s="89" t="s">
        <v>237</v>
      </c>
      <c r="J2163" s="89" t="s">
        <v>3835</v>
      </c>
      <c r="K2163" s="89" t="str">
        <f>"00049200"</f>
        <v>00049200</v>
      </c>
    </row>
    <row r="2164" spans="1:11" ht="85.5" x14ac:dyDescent="0.25">
      <c r="A2164" s="88">
        <v>108</v>
      </c>
      <c r="B2164" s="89" t="s">
        <v>3824</v>
      </c>
      <c r="C2164" s="88" t="s">
        <v>0</v>
      </c>
      <c r="D2164" s="89"/>
      <c r="E2164" s="91">
        <v>165000</v>
      </c>
      <c r="F2164" s="88">
        <v>7</v>
      </c>
      <c r="G2164" s="89" t="s">
        <v>3825</v>
      </c>
      <c r="H2164" s="89" t="s">
        <v>3826</v>
      </c>
      <c r="I2164" s="89" t="s">
        <v>3827</v>
      </c>
      <c r="J2164" s="89" t="s">
        <v>3828</v>
      </c>
      <c r="K2164" s="89" t="str">
        <f>"00050345"</f>
        <v>00050345</v>
      </c>
    </row>
    <row r="2165" spans="1:11" ht="57" x14ac:dyDescent="0.25">
      <c r="A2165" s="88">
        <v>108</v>
      </c>
      <c r="B2165" s="89" t="s">
        <v>3837</v>
      </c>
      <c r="C2165" s="88" t="s">
        <v>0</v>
      </c>
      <c r="D2165" s="89"/>
      <c r="E2165" s="91">
        <v>30473</v>
      </c>
      <c r="F2165" s="88">
        <v>7</v>
      </c>
      <c r="G2165" s="89" t="s">
        <v>3838</v>
      </c>
      <c r="H2165" s="89" t="s">
        <v>3839</v>
      </c>
      <c r="I2165" s="89" t="s">
        <v>66</v>
      </c>
      <c r="J2165" s="89" t="s">
        <v>877</v>
      </c>
      <c r="K2165" s="89" t="str">
        <f>"00052398"</f>
        <v>00052398</v>
      </c>
    </row>
    <row r="2166" spans="1:11" ht="28.5" x14ac:dyDescent="0.25">
      <c r="A2166" s="88">
        <v>108</v>
      </c>
      <c r="B2166" s="89" t="s">
        <v>12</v>
      </c>
      <c r="C2166" s="88" t="s">
        <v>0</v>
      </c>
      <c r="D2166" s="91">
        <v>30090000</v>
      </c>
      <c r="E2166" s="28"/>
      <c r="F2166" s="88">
        <v>7</v>
      </c>
      <c r="G2166" s="89" t="s">
        <v>52</v>
      </c>
      <c r="H2166" s="89"/>
      <c r="I2166" s="89" t="s">
        <v>921</v>
      </c>
      <c r="J2166" s="89"/>
      <c r="K2166" s="89" t="str">
        <f>"　"</f>
        <v>　</v>
      </c>
    </row>
    <row r="2167" spans="1:11" ht="114" x14ac:dyDescent="0.25">
      <c r="A2167" s="88">
        <v>108</v>
      </c>
      <c r="B2167" s="89" t="s">
        <v>1304</v>
      </c>
      <c r="C2167" s="88" t="s">
        <v>0</v>
      </c>
      <c r="D2167" s="89"/>
      <c r="E2167" s="91">
        <v>47831</v>
      </c>
      <c r="F2167" s="88">
        <v>7</v>
      </c>
      <c r="G2167" s="89" t="s">
        <v>1305</v>
      </c>
      <c r="H2167" s="89" t="s">
        <v>139</v>
      </c>
      <c r="I2167" s="89" t="s">
        <v>80</v>
      </c>
      <c r="J2167" s="89" t="s">
        <v>80</v>
      </c>
      <c r="K2167" s="89" t="s">
        <v>6564</v>
      </c>
    </row>
    <row r="2168" spans="1:11" ht="85.5" x14ac:dyDescent="0.25">
      <c r="A2168" s="88">
        <v>108</v>
      </c>
      <c r="B2168" s="89" t="s">
        <v>1297</v>
      </c>
      <c r="C2168" s="88" t="s">
        <v>0</v>
      </c>
      <c r="D2168" s="89"/>
      <c r="E2168" s="91">
        <v>47592</v>
      </c>
      <c r="F2168" s="88">
        <v>7</v>
      </c>
      <c r="G2168" s="89" t="s">
        <v>1301</v>
      </c>
      <c r="H2168" s="89" t="s">
        <v>1299</v>
      </c>
      <c r="I2168" s="89" t="s">
        <v>66</v>
      </c>
      <c r="J2168" s="89" t="s">
        <v>1300</v>
      </c>
      <c r="K2168" s="89" t="str">
        <f>"00048591"</f>
        <v>00048591</v>
      </c>
    </row>
    <row r="2169" spans="1:11" ht="99.75" x14ac:dyDescent="0.25">
      <c r="A2169" s="88">
        <v>108</v>
      </c>
      <c r="B2169" s="89" t="s">
        <v>1297</v>
      </c>
      <c r="C2169" s="88" t="s">
        <v>0</v>
      </c>
      <c r="D2169" s="89"/>
      <c r="E2169" s="91">
        <v>47612</v>
      </c>
      <c r="F2169" s="88">
        <v>7</v>
      </c>
      <c r="G2169" s="89" t="s">
        <v>1298</v>
      </c>
      <c r="H2169" s="89" t="s">
        <v>1299</v>
      </c>
      <c r="I2169" s="89" t="s">
        <v>66</v>
      </c>
      <c r="J2169" s="89" t="s">
        <v>1300</v>
      </c>
      <c r="K2169" s="89" t="str">
        <f>"00048586"</f>
        <v>00048586</v>
      </c>
    </row>
    <row r="2170" spans="1:11" ht="99.75" x14ac:dyDescent="0.25">
      <c r="A2170" s="88">
        <v>108</v>
      </c>
      <c r="B2170" s="89" t="s">
        <v>1297</v>
      </c>
      <c r="C2170" s="88" t="s">
        <v>0</v>
      </c>
      <c r="D2170" s="89"/>
      <c r="E2170" s="91">
        <v>123395</v>
      </c>
      <c r="F2170" s="88">
        <v>7</v>
      </c>
      <c r="G2170" s="89" t="s">
        <v>1302</v>
      </c>
      <c r="H2170" s="89" t="s">
        <v>1299</v>
      </c>
      <c r="I2170" s="89" t="s">
        <v>66</v>
      </c>
      <c r="J2170" s="89" t="s">
        <v>1300</v>
      </c>
      <c r="K2170" s="89" t="str">
        <f>"00048581"</f>
        <v>00048581</v>
      </c>
    </row>
    <row r="2171" spans="1:11" ht="85.5" x14ac:dyDescent="0.25">
      <c r="A2171" s="88">
        <v>108</v>
      </c>
      <c r="B2171" s="89" t="s">
        <v>1304</v>
      </c>
      <c r="C2171" s="88" t="s">
        <v>0</v>
      </c>
      <c r="D2171" s="89"/>
      <c r="E2171" s="91">
        <v>42093</v>
      </c>
      <c r="F2171" s="88">
        <v>7</v>
      </c>
      <c r="G2171" s="89" t="s">
        <v>1306</v>
      </c>
      <c r="H2171" s="89" t="s">
        <v>1307</v>
      </c>
      <c r="I2171" s="89" t="s">
        <v>152</v>
      </c>
      <c r="J2171" s="89" t="s">
        <v>1020</v>
      </c>
      <c r="K2171" s="89" t="s">
        <v>6092</v>
      </c>
    </row>
    <row r="2172" spans="1:11" ht="128.25" x14ac:dyDescent="0.25">
      <c r="A2172" s="88">
        <v>108</v>
      </c>
      <c r="B2172" s="89" t="s">
        <v>3954</v>
      </c>
      <c r="C2172" s="88" t="s">
        <v>0</v>
      </c>
      <c r="D2172" s="89"/>
      <c r="E2172" s="91">
        <v>85000</v>
      </c>
      <c r="F2172" s="88">
        <v>7</v>
      </c>
      <c r="G2172" s="89" t="s">
        <v>3955</v>
      </c>
      <c r="H2172" s="89" t="s">
        <v>3956</v>
      </c>
      <c r="I2172" s="89" t="s">
        <v>66</v>
      </c>
      <c r="J2172" s="89" t="s">
        <v>125</v>
      </c>
      <c r="K2172" s="89" t="str">
        <f>"00052523"</f>
        <v>00052523</v>
      </c>
    </row>
    <row r="2173" spans="1:11" ht="85.5" x14ac:dyDescent="0.25">
      <c r="A2173" s="88">
        <v>108</v>
      </c>
      <c r="B2173" s="89" t="s">
        <v>1297</v>
      </c>
      <c r="C2173" s="88" t="s">
        <v>0</v>
      </c>
      <c r="D2173" s="89"/>
      <c r="E2173" s="91">
        <v>47592</v>
      </c>
      <c r="F2173" s="88">
        <v>7</v>
      </c>
      <c r="G2173" s="89" t="s">
        <v>1303</v>
      </c>
      <c r="H2173" s="89" t="s">
        <v>1299</v>
      </c>
      <c r="I2173" s="89" t="s">
        <v>66</v>
      </c>
      <c r="J2173" s="89" t="s">
        <v>1300</v>
      </c>
      <c r="K2173" s="89" t="str">
        <f>"00048590"</f>
        <v>00048590</v>
      </c>
    </row>
    <row r="2174" spans="1:11" ht="99.75" x14ac:dyDescent="0.25">
      <c r="A2174" s="88">
        <v>108</v>
      </c>
      <c r="B2174" s="89" t="s">
        <v>3944</v>
      </c>
      <c r="C2174" s="88" t="s">
        <v>0</v>
      </c>
      <c r="D2174" s="89"/>
      <c r="E2174" s="91">
        <v>125000</v>
      </c>
      <c r="F2174" s="88">
        <v>7</v>
      </c>
      <c r="G2174" s="89" t="s">
        <v>3945</v>
      </c>
      <c r="H2174" s="89" t="s">
        <v>3946</v>
      </c>
      <c r="I2174" s="89" t="s">
        <v>237</v>
      </c>
      <c r="J2174" s="89" t="s">
        <v>3947</v>
      </c>
      <c r="K2174" s="89" t="s">
        <v>5966</v>
      </c>
    </row>
    <row r="2175" spans="1:11" ht="99.75" x14ac:dyDescent="0.25">
      <c r="A2175" s="88">
        <v>108</v>
      </c>
      <c r="B2175" s="89" t="s">
        <v>3951</v>
      </c>
      <c r="C2175" s="88" t="s">
        <v>0</v>
      </c>
      <c r="D2175" s="89"/>
      <c r="E2175" s="91">
        <v>41150</v>
      </c>
      <c r="F2175" s="88">
        <v>7</v>
      </c>
      <c r="G2175" s="89" t="s">
        <v>3952</v>
      </c>
      <c r="H2175" s="89" t="s">
        <v>3953</v>
      </c>
      <c r="I2175" s="89" t="s">
        <v>66</v>
      </c>
      <c r="J2175" s="89" t="s">
        <v>332</v>
      </c>
      <c r="K2175" s="89" t="s">
        <v>5965</v>
      </c>
    </row>
    <row r="2176" spans="1:11" ht="85.5" x14ac:dyDescent="0.25">
      <c r="A2176" s="88">
        <v>108</v>
      </c>
      <c r="B2176" s="89" t="s">
        <v>3948</v>
      </c>
      <c r="C2176" s="88" t="s">
        <v>0</v>
      </c>
      <c r="D2176" s="89"/>
      <c r="E2176" s="91">
        <v>50000</v>
      </c>
      <c r="F2176" s="88">
        <v>7</v>
      </c>
      <c r="G2176" s="89" t="s">
        <v>3949</v>
      </c>
      <c r="H2176" s="89" t="s">
        <v>3950</v>
      </c>
      <c r="I2176" s="89" t="s">
        <v>66</v>
      </c>
      <c r="J2176" s="89" t="s">
        <v>125</v>
      </c>
      <c r="K2176" s="89" t="str">
        <f>"00049702"</f>
        <v>00049702</v>
      </c>
    </row>
    <row r="2177" spans="1:11" ht="57" x14ac:dyDescent="0.25">
      <c r="A2177" s="88">
        <v>108</v>
      </c>
      <c r="B2177" s="89" t="s">
        <v>1304</v>
      </c>
      <c r="C2177" s="88" t="s">
        <v>0</v>
      </c>
      <c r="D2177" s="89"/>
      <c r="E2177" s="91">
        <v>36629</v>
      </c>
      <c r="F2177" s="88">
        <v>7</v>
      </c>
      <c r="G2177" s="89" t="s">
        <v>3960</v>
      </c>
      <c r="H2177" s="89" t="s">
        <v>3961</v>
      </c>
      <c r="I2177" s="89" t="s">
        <v>746</v>
      </c>
      <c r="J2177" s="89" t="s">
        <v>3962</v>
      </c>
      <c r="K2177" s="89" t="str">
        <f>"00050245"</f>
        <v>00050245</v>
      </c>
    </row>
    <row r="2178" spans="1:11" ht="99.75" x14ac:dyDescent="0.25">
      <c r="A2178" s="88">
        <v>108</v>
      </c>
      <c r="B2178" s="89" t="s">
        <v>3957</v>
      </c>
      <c r="C2178" s="88" t="s">
        <v>0</v>
      </c>
      <c r="D2178" s="89"/>
      <c r="E2178" s="91">
        <v>76742</v>
      </c>
      <c r="F2178" s="88">
        <v>7</v>
      </c>
      <c r="G2178" s="89" t="s">
        <v>5831</v>
      </c>
      <c r="H2178" s="89" t="s">
        <v>3958</v>
      </c>
      <c r="I2178" s="89" t="s">
        <v>161</v>
      </c>
      <c r="J2178" s="89" t="s">
        <v>3959</v>
      </c>
      <c r="K2178" s="89" t="str">
        <f>"00049807"</f>
        <v>00049807</v>
      </c>
    </row>
    <row r="2179" spans="1:11" ht="114" x14ac:dyDescent="0.25">
      <c r="A2179" s="88">
        <v>108</v>
      </c>
      <c r="B2179" s="89" t="s">
        <v>4674</v>
      </c>
      <c r="C2179" s="88" t="s">
        <v>0</v>
      </c>
      <c r="D2179" s="89"/>
      <c r="E2179" s="91">
        <v>83141</v>
      </c>
      <c r="F2179" s="88">
        <v>7</v>
      </c>
      <c r="G2179" s="89" t="s">
        <v>4675</v>
      </c>
      <c r="H2179" s="89" t="s">
        <v>4676</v>
      </c>
      <c r="I2179" s="89" t="s">
        <v>4677</v>
      </c>
      <c r="J2179" s="89" t="s">
        <v>4678</v>
      </c>
      <c r="K2179" s="89" t="str">
        <f>"00047164"</f>
        <v>00047164</v>
      </c>
    </row>
    <row r="2180" spans="1:11" ht="71.25" x14ac:dyDescent="0.25">
      <c r="A2180" s="88">
        <v>108</v>
      </c>
      <c r="B2180" s="89" t="s">
        <v>4679</v>
      </c>
      <c r="C2180" s="88" t="s">
        <v>0</v>
      </c>
      <c r="D2180" s="89"/>
      <c r="E2180" s="91">
        <v>15333</v>
      </c>
      <c r="F2180" s="88">
        <v>7</v>
      </c>
      <c r="G2180" s="89" t="s">
        <v>4680</v>
      </c>
      <c r="H2180" s="89" t="s">
        <v>4681</v>
      </c>
      <c r="I2180" s="89" t="s">
        <v>4682</v>
      </c>
      <c r="J2180" s="89" t="s">
        <v>4683</v>
      </c>
      <c r="K2180" s="89" t="str">
        <f>"00048375"</f>
        <v>00048375</v>
      </c>
    </row>
    <row r="2181" spans="1:11" x14ac:dyDescent="0.25">
      <c r="A2181" s="88">
        <v>108</v>
      </c>
      <c r="B2181" s="89" t="s">
        <v>883</v>
      </c>
      <c r="C2181" s="88" t="s">
        <v>0</v>
      </c>
      <c r="D2181" s="94">
        <v>630064</v>
      </c>
      <c r="E2181" s="28"/>
      <c r="F2181" s="88">
        <v>7</v>
      </c>
      <c r="G2181" s="89" t="s">
        <v>5832</v>
      </c>
      <c r="H2181" s="89"/>
      <c r="I2181" s="89" t="s">
        <v>885</v>
      </c>
      <c r="J2181" s="89"/>
      <c r="K2181" s="89" t="str">
        <f>"　"</f>
        <v>　</v>
      </c>
    </row>
    <row r="2182" spans="1:11" ht="199.5" x14ac:dyDescent="0.25">
      <c r="A2182" s="88">
        <v>108</v>
      </c>
      <c r="B2182" s="89" t="s">
        <v>883</v>
      </c>
      <c r="C2182" s="88" t="s">
        <v>0</v>
      </c>
      <c r="D2182" s="89"/>
      <c r="E2182" s="91">
        <v>630064</v>
      </c>
      <c r="F2182" s="88">
        <v>7</v>
      </c>
      <c r="G2182" s="89" t="s">
        <v>5435</v>
      </c>
      <c r="H2182" s="89" t="s">
        <v>5436</v>
      </c>
      <c r="I2182" s="89" t="s">
        <v>5437</v>
      </c>
      <c r="J2182" s="89" t="s">
        <v>5438</v>
      </c>
      <c r="K2182" s="89" t="str">
        <f>"00043779"</f>
        <v>00043779</v>
      </c>
    </row>
    <row r="2183" spans="1:11" x14ac:dyDescent="0.25">
      <c r="A2183" s="88">
        <v>108</v>
      </c>
      <c r="B2183" s="89" t="s">
        <v>883</v>
      </c>
      <c r="C2183" s="88" t="s">
        <v>0</v>
      </c>
      <c r="D2183" s="94">
        <v>49212</v>
      </c>
      <c r="E2183" s="28"/>
      <c r="F2183" s="88">
        <v>7</v>
      </c>
      <c r="G2183" s="89" t="s">
        <v>889</v>
      </c>
      <c r="H2183" s="89"/>
      <c r="I2183" s="89" t="s">
        <v>885</v>
      </c>
      <c r="J2183" s="89"/>
      <c r="K2183" s="89" t="str">
        <f>"　"</f>
        <v>　</v>
      </c>
    </row>
    <row r="2184" spans="1:11" ht="114" x14ac:dyDescent="0.25">
      <c r="A2184" s="88">
        <v>108</v>
      </c>
      <c r="B2184" s="89" t="s">
        <v>883</v>
      </c>
      <c r="C2184" s="88" t="s">
        <v>0</v>
      </c>
      <c r="D2184" s="89"/>
      <c r="E2184" s="91">
        <v>49212</v>
      </c>
      <c r="F2184" s="88">
        <v>7</v>
      </c>
      <c r="G2184" s="89" t="s">
        <v>3385</v>
      </c>
      <c r="H2184" s="89" t="s">
        <v>3386</v>
      </c>
      <c r="I2184" s="89" t="s">
        <v>32</v>
      </c>
      <c r="J2184" s="89" t="s">
        <v>1854</v>
      </c>
      <c r="K2184" s="89" t="str">
        <f>"00049491"</f>
        <v>00049491</v>
      </c>
    </row>
    <row r="2185" spans="1:11" x14ac:dyDescent="0.25">
      <c r="A2185" s="88">
        <v>108</v>
      </c>
      <c r="B2185" s="89" t="s">
        <v>883</v>
      </c>
      <c r="C2185" s="88" t="s">
        <v>0</v>
      </c>
      <c r="D2185" s="94">
        <v>17202</v>
      </c>
      <c r="E2185" s="28"/>
      <c r="F2185" s="88">
        <v>7</v>
      </c>
      <c r="G2185" s="89" t="s">
        <v>889</v>
      </c>
      <c r="H2185" s="89"/>
      <c r="I2185" s="89" t="s">
        <v>885</v>
      </c>
      <c r="J2185" s="89"/>
      <c r="K2185" s="89" t="str">
        <f>"　"</f>
        <v>　</v>
      </c>
    </row>
    <row r="2186" spans="1:11" ht="71.25" x14ac:dyDescent="0.25">
      <c r="A2186" s="88">
        <v>108</v>
      </c>
      <c r="B2186" s="89" t="s">
        <v>883</v>
      </c>
      <c r="C2186" s="88" t="s">
        <v>0</v>
      </c>
      <c r="D2186" s="89"/>
      <c r="E2186" s="91">
        <v>17202</v>
      </c>
      <c r="F2186" s="88">
        <v>7</v>
      </c>
      <c r="G2186" s="89" t="s">
        <v>3387</v>
      </c>
      <c r="H2186" s="89" t="s">
        <v>3388</v>
      </c>
      <c r="I2186" s="89" t="s">
        <v>66</v>
      </c>
      <c r="J2186" s="89" t="s">
        <v>99</v>
      </c>
      <c r="K2186" s="89" t="str">
        <f>"00052832"</f>
        <v>00052832</v>
      </c>
    </row>
    <row r="2187" spans="1:11" x14ac:dyDescent="0.25">
      <c r="A2187" s="88">
        <v>108</v>
      </c>
      <c r="B2187" s="89" t="s">
        <v>883</v>
      </c>
      <c r="C2187" s="88" t="s">
        <v>0</v>
      </c>
      <c r="D2187" s="94">
        <v>26365</v>
      </c>
      <c r="E2187" s="28"/>
      <c r="F2187" s="88">
        <v>7</v>
      </c>
      <c r="G2187" s="89" t="s">
        <v>889</v>
      </c>
      <c r="H2187" s="89"/>
      <c r="I2187" s="89" t="s">
        <v>885</v>
      </c>
      <c r="J2187" s="89"/>
      <c r="K2187" s="89" t="str">
        <f>"　"</f>
        <v>　</v>
      </c>
    </row>
    <row r="2188" spans="1:11" ht="42.75" x14ac:dyDescent="0.25">
      <c r="A2188" s="88">
        <v>108</v>
      </c>
      <c r="B2188" s="89" t="s">
        <v>883</v>
      </c>
      <c r="C2188" s="88" t="s">
        <v>0</v>
      </c>
      <c r="D2188" s="89"/>
      <c r="E2188" s="91">
        <v>26365</v>
      </c>
      <c r="F2188" s="88">
        <v>7</v>
      </c>
      <c r="G2188" s="89" t="s">
        <v>3389</v>
      </c>
      <c r="H2188" s="89" t="s">
        <v>3390</v>
      </c>
      <c r="I2188" s="89" t="s">
        <v>242</v>
      </c>
      <c r="J2188" s="89" t="s">
        <v>3391</v>
      </c>
      <c r="K2188" s="89" t="str">
        <f>"00052928"</f>
        <v>00052928</v>
      </c>
    </row>
    <row r="2189" spans="1:11" ht="28.5" x14ac:dyDescent="0.25">
      <c r="A2189" s="88">
        <v>108</v>
      </c>
      <c r="B2189" s="89" t="s">
        <v>883</v>
      </c>
      <c r="C2189" s="88" t="s">
        <v>0</v>
      </c>
      <c r="D2189" s="94">
        <v>50978</v>
      </c>
      <c r="E2189" s="28"/>
      <c r="F2189" s="88">
        <v>7</v>
      </c>
      <c r="G2189" s="89" t="s">
        <v>892</v>
      </c>
      <c r="H2189" s="89"/>
      <c r="I2189" s="89" t="s">
        <v>885</v>
      </c>
      <c r="J2189" s="89"/>
      <c r="K2189" s="89" t="str">
        <f>"　"</f>
        <v>　</v>
      </c>
    </row>
    <row r="2190" spans="1:11" ht="85.5" x14ac:dyDescent="0.25">
      <c r="A2190" s="88">
        <v>108</v>
      </c>
      <c r="B2190" s="89" t="s">
        <v>883</v>
      </c>
      <c r="C2190" s="88" t="s">
        <v>0</v>
      </c>
      <c r="D2190" s="89"/>
      <c r="E2190" s="91">
        <v>50978</v>
      </c>
      <c r="F2190" s="88">
        <v>7</v>
      </c>
      <c r="G2190" s="89" t="s">
        <v>915</v>
      </c>
      <c r="H2190" s="89" t="s">
        <v>916</v>
      </c>
      <c r="I2190" s="89" t="s">
        <v>32</v>
      </c>
      <c r="J2190" s="89" t="s">
        <v>917</v>
      </c>
      <c r="K2190" s="89" t="str">
        <f>"00047671"</f>
        <v>00047671</v>
      </c>
    </row>
    <row r="2191" spans="1:11" ht="28.5" x14ac:dyDescent="0.25">
      <c r="A2191" s="88">
        <v>108</v>
      </c>
      <c r="B2191" s="89" t="s">
        <v>883</v>
      </c>
      <c r="C2191" s="88" t="s">
        <v>0</v>
      </c>
      <c r="D2191" s="94">
        <v>33821</v>
      </c>
      <c r="E2191" s="28"/>
      <c r="F2191" s="88">
        <v>7</v>
      </c>
      <c r="G2191" s="89" t="s">
        <v>892</v>
      </c>
      <c r="H2191" s="89"/>
      <c r="I2191" s="89" t="s">
        <v>885</v>
      </c>
      <c r="J2191" s="89"/>
      <c r="K2191" s="89" t="str">
        <f>"　"</f>
        <v>　</v>
      </c>
    </row>
    <row r="2192" spans="1:11" ht="57" x14ac:dyDescent="0.25">
      <c r="A2192" s="88">
        <v>108</v>
      </c>
      <c r="B2192" s="89" t="s">
        <v>883</v>
      </c>
      <c r="C2192" s="88" t="s">
        <v>0</v>
      </c>
      <c r="D2192" s="89"/>
      <c r="E2192" s="91">
        <v>33821</v>
      </c>
      <c r="F2192" s="88">
        <v>7</v>
      </c>
      <c r="G2192" s="89" t="s">
        <v>913</v>
      </c>
      <c r="H2192" s="89" t="s">
        <v>914</v>
      </c>
      <c r="I2192" s="89" t="s">
        <v>32</v>
      </c>
      <c r="J2192" s="89" t="s">
        <v>262</v>
      </c>
      <c r="K2192" s="89" t="str">
        <f>"　"</f>
        <v>　</v>
      </c>
    </row>
    <row r="2193" spans="1:11" ht="28.5" x14ac:dyDescent="0.25">
      <c r="A2193" s="88">
        <v>108</v>
      </c>
      <c r="B2193" s="89" t="s">
        <v>12</v>
      </c>
      <c r="C2193" s="88" t="s">
        <v>0</v>
      </c>
      <c r="D2193" s="91">
        <v>30090000</v>
      </c>
      <c r="E2193" s="28"/>
      <c r="F2193" s="88">
        <v>7</v>
      </c>
      <c r="G2193" s="89" t="s">
        <v>52</v>
      </c>
      <c r="H2193" s="89"/>
      <c r="I2193" s="89" t="s">
        <v>921</v>
      </c>
      <c r="J2193" s="89"/>
      <c r="K2193" s="89" t="str">
        <f>"　"</f>
        <v>　</v>
      </c>
    </row>
    <row r="2194" spans="1:11" ht="42.75" x14ac:dyDescent="0.25">
      <c r="A2194" s="88">
        <v>108</v>
      </c>
      <c r="B2194" s="89" t="s">
        <v>3963</v>
      </c>
      <c r="C2194" s="88" t="s">
        <v>0</v>
      </c>
      <c r="D2194" s="89"/>
      <c r="E2194" s="91">
        <v>42180</v>
      </c>
      <c r="F2194" s="88">
        <v>7</v>
      </c>
      <c r="G2194" s="89" t="s">
        <v>3964</v>
      </c>
      <c r="H2194" s="89" t="s">
        <v>3965</v>
      </c>
      <c r="I2194" s="89" t="s">
        <v>66</v>
      </c>
      <c r="J2194" s="89" t="s">
        <v>125</v>
      </c>
      <c r="K2194" s="89" t="str">
        <f>"00048674"</f>
        <v>00048674</v>
      </c>
    </row>
    <row r="2195" spans="1:11" ht="57" x14ac:dyDescent="0.25">
      <c r="A2195" s="88">
        <v>108</v>
      </c>
      <c r="B2195" s="89" t="s">
        <v>3966</v>
      </c>
      <c r="C2195" s="88" t="s">
        <v>0</v>
      </c>
      <c r="D2195" s="89"/>
      <c r="E2195" s="91">
        <v>27599</v>
      </c>
      <c r="F2195" s="88">
        <v>7</v>
      </c>
      <c r="G2195" s="89" t="s">
        <v>3964</v>
      </c>
      <c r="H2195" s="89" t="s">
        <v>3965</v>
      </c>
      <c r="I2195" s="89" t="s">
        <v>66</v>
      </c>
      <c r="J2195" s="89" t="s">
        <v>125</v>
      </c>
      <c r="K2195" s="89" t="str">
        <f>"00048674"</f>
        <v>00048674</v>
      </c>
    </row>
    <row r="2196" spans="1:11" ht="71.25" x14ac:dyDescent="0.25">
      <c r="A2196" s="88">
        <v>108</v>
      </c>
      <c r="B2196" s="89" t="s">
        <v>2827</v>
      </c>
      <c r="C2196" s="88" t="s">
        <v>0</v>
      </c>
      <c r="D2196" s="89"/>
      <c r="E2196" s="91">
        <v>28507</v>
      </c>
      <c r="F2196" s="88">
        <v>7</v>
      </c>
      <c r="G2196" s="89" t="s">
        <v>2837</v>
      </c>
      <c r="H2196" s="89" t="s">
        <v>1965</v>
      </c>
      <c r="I2196" s="89" t="s">
        <v>135</v>
      </c>
      <c r="J2196" s="89" t="s">
        <v>2838</v>
      </c>
      <c r="K2196" s="89" t="str">
        <f>"00049774"</f>
        <v>00049774</v>
      </c>
    </row>
    <row r="2197" spans="1:11" ht="114" x14ac:dyDescent="0.25">
      <c r="A2197" s="88">
        <v>108</v>
      </c>
      <c r="B2197" s="89" t="s">
        <v>3973</v>
      </c>
      <c r="C2197" s="88" t="s">
        <v>0</v>
      </c>
      <c r="D2197" s="89"/>
      <c r="E2197" s="91">
        <v>150000</v>
      </c>
      <c r="F2197" s="88">
        <v>7</v>
      </c>
      <c r="G2197" s="89" t="s">
        <v>3974</v>
      </c>
      <c r="H2197" s="89" t="s">
        <v>2849</v>
      </c>
      <c r="I2197" s="89" t="s">
        <v>32</v>
      </c>
      <c r="J2197" s="89" t="s">
        <v>2850</v>
      </c>
      <c r="K2197" s="89" t="str">
        <f>"00050479"</f>
        <v>00050479</v>
      </c>
    </row>
    <row r="2198" spans="1:11" ht="142.5" x14ac:dyDescent="0.25">
      <c r="A2198" s="88">
        <v>108</v>
      </c>
      <c r="B2198" s="89" t="s">
        <v>5439</v>
      </c>
      <c r="C2198" s="88" t="s">
        <v>0</v>
      </c>
      <c r="D2198" s="89"/>
      <c r="E2198" s="91">
        <v>47000</v>
      </c>
      <c r="F2198" s="88">
        <v>7</v>
      </c>
      <c r="G2198" s="89" t="s">
        <v>5440</v>
      </c>
      <c r="H2198" s="89" t="s">
        <v>5441</v>
      </c>
      <c r="I2198" s="89" t="s">
        <v>242</v>
      </c>
      <c r="J2198" s="89" t="s">
        <v>5442</v>
      </c>
      <c r="K2198" s="89" t="str">
        <f>"00046426"</f>
        <v>00046426</v>
      </c>
    </row>
    <row r="2199" spans="1:11" ht="114" x14ac:dyDescent="0.25">
      <c r="A2199" s="88">
        <v>108</v>
      </c>
      <c r="B2199" s="89" t="s">
        <v>2842</v>
      </c>
      <c r="C2199" s="88" t="s">
        <v>0</v>
      </c>
      <c r="D2199" s="89"/>
      <c r="E2199" s="91">
        <v>79075</v>
      </c>
      <c r="F2199" s="88">
        <v>7</v>
      </c>
      <c r="G2199" s="89" t="s">
        <v>3975</v>
      </c>
      <c r="H2199" s="89" t="s">
        <v>2849</v>
      </c>
      <c r="I2199" s="89" t="s">
        <v>32</v>
      </c>
      <c r="J2199" s="89" t="s">
        <v>2850</v>
      </c>
      <c r="K2199" s="89" t="str">
        <f>"00050479"</f>
        <v>00050479</v>
      </c>
    </row>
    <row r="2200" spans="1:11" ht="99.75" x14ac:dyDescent="0.25">
      <c r="A2200" s="88">
        <v>108</v>
      </c>
      <c r="B2200" s="89" t="s">
        <v>2831</v>
      </c>
      <c r="C2200" s="88" t="s">
        <v>0</v>
      </c>
      <c r="D2200" s="89"/>
      <c r="E2200" s="91">
        <v>82606</v>
      </c>
      <c r="F2200" s="88">
        <v>7</v>
      </c>
      <c r="G2200" s="89" t="s">
        <v>5833</v>
      </c>
      <c r="H2200" s="89" t="s">
        <v>3967</v>
      </c>
      <c r="I2200" s="89" t="s">
        <v>94</v>
      </c>
      <c r="J2200" s="89" t="s">
        <v>355</v>
      </c>
      <c r="K2200" s="89" t="str">
        <f>"00052670"</f>
        <v>00052670</v>
      </c>
    </row>
    <row r="2201" spans="1:11" ht="114" x14ac:dyDescent="0.25">
      <c r="A2201" s="88">
        <v>108</v>
      </c>
      <c r="B2201" s="89" t="s">
        <v>3966</v>
      </c>
      <c r="C2201" s="88" t="s">
        <v>0</v>
      </c>
      <c r="D2201" s="89"/>
      <c r="E2201" s="91">
        <v>60509</v>
      </c>
      <c r="F2201" s="88">
        <v>7</v>
      </c>
      <c r="G2201" s="89" t="s">
        <v>3970</v>
      </c>
      <c r="H2201" s="89" t="s">
        <v>3971</v>
      </c>
      <c r="I2201" s="89" t="s">
        <v>66</v>
      </c>
      <c r="J2201" s="89" t="s">
        <v>125</v>
      </c>
      <c r="K2201" s="89" t="str">
        <f>"00051670"</f>
        <v>00051670</v>
      </c>
    </row>
    <row r="2202" spans="1:11" ht="114" x14ac:dyDescent="0.25">
      <c r="A2202" s="88">
        <v>108</v>
      </c>
      <c r="B2202" s="89" t="s">
        <v>3972</v>
      </c>
      <c r="C2202" s="88" t="s">
        <v>0</v>
      </c>
      <c r="D2202" s="89"/>
      <c r="E2202" s="91">
        <v>20319</v>
      </c>
      <c r="F2202" s="88">
        <v>7</v>
      </c>
      <c r="G2202" s="89" t="s">
        <v>3970</v>
      </c>
      <c r="H2202" s="89" t="s">
        <v>3971</v>
      </c>
      <c r="I2202" s="89" t="s">
        <v>66</v>
      </c>
      <c r="J2202" s="89" t="s">
        <v>125</v>
      </c>
      <c r="K2202" s="89" t="str">
        <f>"00051670"</f>
        <v>00051670</v>
      </c>
    </row>
    <row r="2203" spans="1:11" ht="114" x14ac:dyDescent="0.25">
      <c r="A2203" s="88">
        <v>108</v>
      </c>
      <c r="B2203" s="89" t="s">
        <v>3976</v>
      </c>
      <c r="C2203" s="88" t="s">
        <v>0</v>
      </c>
      <c r="D2203" s="89"/>
      <c r="E2203" s="91">
        <v>36994</v>
      </c>
      <c r="F2203" s="88">
        <v>7</v>
      </c>
      <c r="G2203" s="89" t="s">
        <v>3977</v>
      </c>
      <c r="H2203" s="89" t="s">
        <v>3978</v>
      </c>
      <c r="I2203" s="89" t="s">
        <v>32</v>
      </c>
      <c r="J2203" s="89" t="s">
        <v>3979</v>
      </c>
      <c r="K2203" s="89" t="str">
        <f>"00050842"</f>
        <v>00050842</v>
      </c>
    </row>
    <row r="2204" spans="1:11" ht="57" x14ac:dyDescent="0.25">
      <c r="A2204" s="88">
        <v>108</v>
      </c>
      <c r="B2204" s="89" t="s">
        <v>2827</v>
      </c>
      <c r="C2204" s="88" t="s">
        <v>0</v>
      </c>
      <c r="D2204" s="89"/>
      <c r="E2204" s="91">
        <v>27686</v>
      </c>
      <c r="F2204" s="88">
        <v>7</v>
      </c>
      <c r="G2204" s="89" t="s">
        <v>3968</v>
      </c>
      <c r="H2204" s="89" t="s">
        <v>3969</v>
      </c>
      <c r="I2204" s="89" t="s">
        <v>32</v>
      </c>
      <c r="J2204" s="89" t="s">
        <v>393</v>
      </c>
      <c r="K2204" s="89" t="str">
        <f>"00047755"</f>
        <v>00047755</v>
      </c>
    </row>
    <row r="2205" spans="1:11" ht="71.25" x14ac:dyDescent="0.25">
      <c r="A2205" s="88">
        <v>108</v>
      </c>
      <c r="B2205" s="89" t="s">
        <v>2831</v>
      </c>
      <c r="C2205" s="88" t="s">
        <v>0</v>
      </c>
      <c r="D2205" s="89"/>
      <c r="E2205" s="91">
        <v>74388</v>
      </c>
      <c r="F2205" s="88">
        <v>7</v>
      </c>
      <c r="G2205" s="89" t="s">
        <v>5834</v>
      </c>
      <c r="H2205" s="89" t="s">
        <v>3180</v>
      </c>
      <c r="I2205" s="89" t="s">
        <v>66</v>
      </c>
      <c r="J2205" s="89" t="s">
        <v>125</v>
      </c>
      <c r="K2205" s="89" t="str">
        <f>"00052281"</f>
        <v>00052281</v>
      </c>
    </row>
    <row r="2206" spans="1:11" ht="28.5" x14ac:dyDescent="0.25">
      <c r="A2206" s="88">
        <v>108</v>
      </c>
      <c r="B2206" s="89" t="s">
        <v>12</v>
      </c>
      <c r="C2206" s="88" t="s">
        <v>0</v>
      </c>
      <c r="D2206" s="94">
        <v>30000</v>
      </c>
      <c r="E2206" s="28"/>
      <c r="F2206" s="88">
        <v>7</v>
      </c>
      <c r="G2206" s="89" t="s">
        <v>825</v>
      </c>
      <c r="H2206" s="89"/>
      <c r="I2206" s="89" t="s">
        <v>14</v>
      </c>
      <c r="J2206" s="89"/>
      <c r="K2206" s="89" t="str">
        <f>"　"</f>
        <v>　</v>
      </c>
    </row>
    <row r="2207" spans="1:11" ht="42.75" x14ac:dyDescent="0.25">
      <c r="A2207" s="88">
        <v>108</v>
      </c>
      <c r="B2207" s="89" t="s">
        <v>12</v>
      </c>
      <c r="C2207" s="88" t="s">
        <v>0</v>
      </c>
      <c r="D2207" s="89"/>
      <c r="E2207" s="91">
        <v>30000</v>
      </c>
      <c r="F2207" s="88">
        <v>7</v>
      </c>
      <c r="G2207" s="89" t="s">
        <v>4114</v>
      </c>
      <c r="H2207" s="89" t="s">
        <v>4115</v>
      </c>
      <c r="I2207" s="89" t="s">
        <v>66</v>
      </c>
      <c r="J2207" s="89" t="s">
        <v>99</v>
      </c>
      <c r="K2207" s="89" t="str">
        <f>"00052073"</f>
        <v>00052073</v>
      </c>
    </row>
    <row r="2208" spans="1:11" ht="128.25" x14ac:dyDescent="0.25">
      <c r="A2208" s="88">
        <v>108</v>
      </c>
      <c r="B2208" s="89" t="s">
        <v>4603</v>
      </c>
      <c r="C2208" s="88" t="s">
        <v>0</v>
      </c>
      <c r="D2208" s="89"/>
      <c r="E2208" s="91">
        <v>221226</v>
      </c>
      <c r="F2208" s="88">
        <v>7</v>
      </c>
      <c r="G2208" s="89" t="s">
        <v>4604</v>
      </c>
      <c r="H2208" s="89" t="s">
        <v>4605</v>
      </c>
      <c r="I2208" s="89" t="s">
        <v>32</v>
      </c>
      <c r="J2208" s="89" t="s">
        <v>2252</v>
      </c>
      <c r="K2208" s="89" t="str">
        <f>"00043032"</f>
        <v>00043032</v>
      </c>
    </row>
    <row r="2209" spans="1:11" x14ac:dyDescent="0.25">
      <c r="A2209" s="37">
        <v>108</v>
      </c>
      <c r="B2209" s="38" t="s">
        <v>883</v>
      </c>
      <c r="C2209" s="37" t="s">
        <v>0</v>
      </c>
      <c r="D2209" s="66">
        <v>60000</v>
      </c>
      <c r="E2209" s="119"/>
      <c r="F2209" s="37">
        <v>7</v>
      </c>
      <c r="G2209" s="38" t="s">
        <v>889</v>
      </c>
      <c r="H2209" s="38"/>
      <c r="I2209" s="38" t="s">
        <v>885</v>
      </c>
      <c r="J2209" s="38"/>
      <c r="K2209" s="38">
        <v>0</v>
      </c>
    </row>
    <row r="2210" spans="1:11" ht="42.75" x14ac:dyDescent="0.25">
      <c r="A2210" s="37">
        <v>108</v>
      </c>
      <c r="B2210" s="38" t="s">
        <v>883</v>
      </c>
      <c r="C2210" s="37" t="s">
        <v>0</v>
      </c>
      <c r="D2210" s="38"/>
      <c r="E2210" s="39">
        <v>60000</v>
      </c>
      <c r="F2210" s="37">
        <v>7</v>
      </c>
      <c r="G2210" s="38" t="s">
        <v>3392</v>
      </c>
      <c r="H2210" s="38" t="s">
        <v>3393</v>
      </c>
      <c r="I2210" s="38" t="s">
        <v>185</v>
      </c>
      <c r="J2210" s="38" t="s">
        <v>270</v>
      </c>
      <c r="K2210" s="38">
        <v>0</v>
      </c>
    </row>
    <row r="2211" spans="1:11" x14ac:dyDescent="0.25">
      <c r="A2211" s="37">
        <v>108</v>
      </c>
      <c r="B2211" s="38" t="s">
        <v>883</v>
      </c>
      <c r="C2211" s="37" t="s">
        <v>0</v>
      </c>
      <c r="D2211" s="66">
        <v>41388</v>
      </c>
      <c r="E2211" s="119"/>
      <c r="F2211" s="37">
        <v>7</v>
      </c>
      <c r="G2211" s="38" t="s">
        <v>889</v>
      </c>
      <c r="H2211" s="38"/>
      <c r="I2211" s="38" t="s">
        <v>885</v>
      </c>
      <c r="J2211" s="38"/>
      <c r="K2211" s="38">
        <v>0</v>
      </c>
    </row>
    <row r="2212" spans="1:11" ht="42.75" x14ac:dyDescent="0.25">
      <c r="A2212" s="37">
        <v>108</v>
      </c>
      <c r="B2212" s="38" t="s">
        <v>883</v>
      </c>
      <c r="C2212" s="37" t="s">
        <v>0</v>
      </c>
      <c r="D2212" s="38"/>
      <c r="E2212" s="39">
        <v>41388</v>
      </c>
      <c r="F2212" s="37">
        <v>7</v>
      </c>
      <c r="G2212" s="38" t="s">
        <v>3396</v>
      </c>
      <c r="H2212" s="38" t="s">
        <v>3397</v>
      </c>
      <c r="I2212" s="38" t="s">
        <v>1315</v>
      </c>
      <c r="J2212" s="38" t="s">
        <v>2891</v>
      </c>
      <c r="K2212" s="38">
        <v>0</v>
      </c>
    </row>
    <row r="2213" spans="1:11" x14ac:dyDescent="0.25">
      <c r="A2213" s="37">
        <v>108</v>
      </c>
      <c r="B2213" s="38" t="s">
        <v>883</v>
      </c>
      <c r="C2213" s="37" t="s">
        <v>0</v>
      </c>
      <c r="D2213" s="66">
        <v>48725</v>
      </c>
      <c r="E2213" s="119"/>
      <c r="F2213" s="37">
        <v>7</v>
      </c>
      <c r="G2213" s="38" t="s">
        <v>889</v>
      </c>
      <c r="H2213" s="38"/>
      <c r="I2213" s="38" t="s">
        <v>885</v>
      </c>
      <c r="J2213" s="38"/>
      <c r="K2213" s="38">
        <v>0</v>
      </c>
    </row>
    <row r="2214" spans="1:11" ht="42.75" x14ac:dyDescent="0.25">
      <c r="A2214" s="37">
        <v>108</v>
      </c>
      <c r="B2214" s="38" t="s">
        <v>883</v>
      </c>
      <c r="C2214" s="37" t="s">
        <v>0</v>
      </c>
      <c r="D2214" s="38"/>
      <c r="E2214" s="39">
        <v>48725</v>
      </c>
      <c r="F2214" s="37">
        <v>7</v>
      </c>
      <c r="G2214" s="38" t="s">
        <v>3394</v>
      </c>
      <c r="H2214" s="38" t="s">
        <v>3395</v>
      </c>
      <c r="I2214" s="38" t="s">
        <v>1315</v>
      </c>
      <c r="J2214" s="38" t="s">
        <v>2891</v>
      </c>
      <c r="K2214" s="38">
        <v>0</v>
      </c>
    </row>
    <row r="2215" spans="1:11" ht="28.5" x14ac:dyDescent="0.25">
      <c r="A2215" s="37">
        <v>108</v>
      </c>
      <c r="B2215" s="38" t="s">
        <v>12</v>
      </c>
      <c r="C2215" s="37" t="s">
        <v>0</v>
      </c>
      <c r="D2215" s="39">
        <v>30090000</v>
      </c>
      <c r="E2215" s="119"/>
      <c r="F2215" s="37">
        <v>7</v>
      </c>
      <c r="G2215" s="38" t="s">
        <v>52</v>
      </c>
      <c r="H2215" s="38"/>
      <c r="I2215" s="38" t="s">
        <v>921</v>
      </c>
      <c r="J2215" s="38"/>
      <c r="K2215" s="38">
        <v>0</v>
      </c>
    </row>
    <row r="2216" spans="1:11" ht="42.75" x14ac:dyDescent="0.25">
      <c r="A2216" s="37">
        <v>108</v>
      </c>
      <c r="B2216" s="38" t="s">
        <v>3980</v>
      </c>
      <c r="C2216" s="37" t="s">
        <v>0</v>
      </c>
      <c r="D2216" s="38"/>
      <c r="E2216" s="39">
        <v>137755</v>
      </c>
      <c r="F2216" s="37">
        <v>7</v>
      </c>
      <c r="G2216" s="38" t="s">
        <v>3981</v>
      </c>
      <c r="H2216" s="38" t="s">
        <v>3982</v>
      </c>
      <c r="I2216" s="38" t="s">
        <v>1180</v>
      </c>
      <c r="J2216" s="38" t="s">
        <v>3983</v>
      </c>
      <c r="K2216" s="38">
        <v>0</v>
      </c>
    </row>
    <row r="2217" spans="1:11" ht="42.75" x14ac:dyDescent="0.25">
      <c r="A2217" s="37">
        <v>108</v>
      </c>
      <c r="B2217" s="38" t="s">
        <v>3988</v>
      </c>
      <c r="C2217" s="37" t="s">
        <v>0</v>
      </c>
      <c r="D2217" s="38"/>
      <c r="E2217" s="39">
        <v>48370</v>
      </c>
      <c r="F2217" s="37">
        <v>7</v>
      </c>
      <c r="G2217" s="38" t="s">
        <v>3989</v>
      </c>
      <c r="H2217" s="38" t="s">
        <v>1253</v>
      </c>
      <c r="I2217" s="38" t="s">
        <v>66</v>
      </c>
      <c r="J2217" s="38" t="s">
        <v>125</v>
      </c>
      <c r="K2217" s="38">
        <v>0</v>
      </c>
    </row>
    <row r="2218" spans="1:11" ht="42.75" x14ac:dyDescent="0.25">
      <c r="A2218" s="37">
        <v>108</v>
      </c>
      <c r="B2218" s="38" t="s">
        <v>3984</v>
      </c>
      <c r="C2218" s="37" t="s">
        <v>0</v>
      </c>
      <c r="D2218" s="38"/>
      <c r="E2218" s="39">
        <v>59262</v>
      </c>
      <c r="F2218" s="37">
        <v>7</v>
      </c>
      <c r="G2218" s="38" t="s">
        <v>3985</v>
      </c>
      <c r="H2218" s="38" t="s">
        <v>3986</v>
      </c>
      <c r="I2218" s="38" t="s">
        <v>32</v>
      </c>
      <c r="J2218" s="38" t="s">
        <v>3987</v>
      </c>
      <c r="K2218" s="38">
        <v>0</v>
      </c>
    </row>
    <row r="2219" spans="1:11" x14ac:dyDescent="0.25">
      <c r="A2219" s="88">
        <v>108</v>
      </c>
      <c r="B2219" s="89" t="s">
        <v>883</v>
      </c>
      <c r="C2219" s="88" t="s">
        <v>0</v>
      </c>
      <c r="D2219" s="94">
        <v>43276</v>
      </c>
      <c r="E2219" s="28"/>
      <c r="F2219" s="88">
        <v>7</v>
      </c>
      <c r="G2219" s="89" t="s">
        <v>889</v>
      </c>
      <c r="H2219" s="89"/>
      <c r="I2219" s="89" t="s">
        <v>885</v>
      </c>
      <c r="J2219" s="89"/>
      <c r="K2219" s="89" t="str">
        <f>"　"</f>
        <v>　</v>
      </c>
    </row>
    <row r="2220" spans="1:11" ht="57" x14ac:dyDescent="0.25">
      <c r="A2220" s="88">
        <v>108</v>
      </c>
      <c r="B2220" s="89" t="s">
        <v>883</v>
      </c>
      <c r="C2220" s="88" t="s">
        <v>0</v>
      </c>
      <c r="D2220" s="89"/>
      <c r="E2220" s="91">
        <v>43276</v>
      </c>
      <c r="F2220" s="88">
        <v>7</v>
      </c>
      <c r="G2220" s="89" t="s">
        <v>3401</v>
      </c>
      <c r="H2220" s="89" t="s">
        <v>3017</v>
      </c>
      <c r="I2220" s="89" t="s">
        <v>32</v>
      </c>
      <c r="J2220" s="89" t="s">
        <v>84</v>
      </c>
      <c r="K2220" s="89" t="str">
        <f>"00051751"</f>
        <v>00051751</v>
      </c>
    </row>
    <row r="2221" spans="1:11" x14ac:dyDescent="0.25">
      <c r="A2221" s="88">
        <v>108</v>
      </c>
      <c r="B2221" s="89" t="s">
        <v>883</v>
      </c>
      <c r="C2221" s="88" t="s">
        <v>0</v>
      </c>
      <c r="D2221" s="94">
        <v>30000</v>
      </c>
      <c r="E2221" s="28"/>
      <c r="F2221" s="88">
        <v>7</v>
      </c>
      <c r="G2221" s="89" t="s">
        <v>889</v>
      </c>
      <c r="H2221" s="89"/>
      <c r="I2221" s="89" t="s">
        <v>885</v>
      </c>
      <c r="J2221" s="89"/>
      <c r="K2221" s="89" t="str">
        <f>"　"</f>
        <v>　</v>
      </c>
    </row>
    <row r="2222" spans="1:11" ht="42.75" x14ac:dyDescent="0.25">
      <c r="A2222" s="88">
        <v>108</v>
      </c>
      <c r="B2222" s="89" t="s">
        <v>883</v>
      </c>
      <c r="C2222" s="88" t="s">
        <v>0</v>
      </c>
      <c r="D2222" s="89"/>
      <c r="E2222" s="91">
        <v>30000</v>
      </c>
      <c r="F2222" s="88">
        <v>7</v>
      </c>
      <c r="G2222" s="89" t="s">
        <v>3402</v>
      </c>
      <c r="H2222" s="89" t="s">
        <v>3032</v>
      </c>
      <c r="I2222" s="89" t="s">
        <v>80</v>
      </c>
      <c r="J2222" s="89" t="s">
        <v>80</v>
      </c>
      <c r="K2222" s="89" t="str">
        <f>"00049175"</f>
        <v>00049175</v>
      </c>
    </row>
    <row r="2223" spans="1:11" ht="28.5" x14ac:dyDescent="0.25">
      <c r="A2223" s="88">
        <v>108</v>
      </c>
      <c r="B2223" s="89" t="s">
        <v>883</v>
      </c>
      <c r="C2223" s="88" t="s">
        <v>0</v>
      </c>
      <c r="D2223" s="94">
        <v>42663</v>
      </c>
      <c r="E2223" s="28"/>
      <c r="F2223" s="88">
        <v>7</v>
      </c>
      <c r="G2223" s="89" t="s">
        <v>892</v>
      </c>
      <c r="H2223" s="89"/>
      <c r="I2223" s="89" t="s">
        <v>885</v>
      </c>
      <c r="J2223" s="89"/>
      <c r="K2223" s="89" t="str">
        <f>"　"</f>
        <v>　</v>
      </c>
    </row>
    <row r="2224" spans="1:11" ht="42.75" x14ac:dyDescent="0.25">
      <c r="A2224" s="88">
        <v>108</v>
      </c>
      <c r="B2224" s="89" t="s">
        <v>883</v>
      </c>
      <c r="C2224" s="88" t="s">
        <v>0</v>
      </c>
      <c r="D2224" s="89"/>
      <c r="E2224" s="91">
        <v>42663</v>
      </c>
      <c r="F2224" s="88">
        <v>7</v>
      </c>
      <c r="G2224" s="89" t="s">
        <v>710</v>
      </c>
      <c r="H2224" s="89" t="s">
        <v>711</v>
      </c>
      <c r="I2224" s="89" t="s">
        <v>17</v>
      </c>
      <c r="J2224" s="89" t="s">
        <v>18</v>
      </c>
      <c r="K2224" s="89" t="str">
        <f>"00047406"</f>
        <v>00047406</v>
      </c>
    </row>
    <row r="2225" spans="1:11" ht="28.5" x14ac:dyDescent="0.25">
      <c r="A2225" s="88">
        <v>108</v>
      </c>
      <c r="B2225" s="89" t="s">
        <v>883</v>
      </c>
      <c r="C2225" s="88" t="s">
        <v>0</v>
      </c>
      <c r="D2225" s="94">
        <v>14100</v>
      </c>
      <c r="E2225" s="28"/>
      <c r="F2225" s="88">
        <v>7</v>
      </c>
      <c r="G2225" s="89" t="s">
        <v>892</v>
      </c>
      <c r="H2225" s="89"/>
      <c r="I2225" s="89" t="s">
        <v>885</v>
      </c>
      <c r="J2225" s="89"/>
      <c r="K2225" s="89" t="str">
        <f>"　"</f>
        <v>　</v>
      </c>
    </row>
    <row r="2226" spans="1:11" ht="42.75" x14ac:dyDescent="0.25">
      <c r="A2226" s="88">
        <v>108</v>
      </c>
      <c r="B2226" s="89" t="s">
        <v>883</v>
      </c>
      <c r="C2226" s="88" t="s">
        <v>0</v>
      </c>
      <c r="D2226" s="89"/>
      <c r="E2226" s="91">
        <v>14100</v>
      </c>
      <c r="F2226" s="88">
        <v>7</v>
      </c>
      <c r="G2226" s="89" t="s">
        <v>918</v>
      </c>
      <c r="H2226" s="89" t="s">
        <v>919</v>
      </c>
      <c r="I2226" s="89" t="s">
        <v>66</v>
      </c>
      <c r="J2226" s="89" t="s">
        <v>125</v>
      </c>
      <c r="K2226" s="89" t="str">
        <f>"00046904"</f>
        <v>00046904</v>
      </c>
    </row>
    <row r="2227" spans="1:11" ht="28.5" x14ac:dyDescent="0.25">
      <c r="A2227" s="88">
        <v>108</v>
      </c>
      <c r="B2227" s="89" t="s">
        <v>12</v>
      </c>
      <c r="C2227" s="88" t="s">
        <v>0</v>
      </c>
      <c r="D2227" s="91">
        <v>30090000</v>
      </c>
      <c r="E2227" s="28"/>
      <c r="F2227" s="88">
        <v>7</v>
      </c>
      <c r="G2227" s="89" t="s">
        <v>52</v>
      </c>
      <c r="H2227" s="89"/>
      <c r="I2227" s="89" t="s">
        <v>921</v>
      </c>
      <c r="J2227" s="89"/>
      <c r="K2227" s="89" t="str">
        <f>"　"</f>
        <v>　</v>
      </c>
    </row>
    <row r="2228" spans="1:11" ht="99.75" x14ac:dyDescent="0.25">
      <c r="A2228" s="88">
        <v>108</v>
      </c>
      <c r="B2228" s="89" t="s">
        <v>1312</v>
      </c>
      <c r="C2228" s="88" t="s">
        <v>0</v>
      </c>
      <c r="D2228" s="89"/>
      <c r="E2228" s="91">
        <v>160508</v>
      </c>
      <c r="F2228" s="88">
        <v>7</v>
      </c>
      <c r="G2228" s="89" t="s">
        <v>1313</v>
      </c>
      <c r="H2228" s="89" t="s">
        <v>1314</v>
      </c>
      <c r="I2228" s="89" t="s">
        <v>1315</v>
      </c>
      <c r="J2228" s="89" t="s">
        <v>1316</v>
      </c>
      <c r="K2228" s="89" t="str">
        <f>"00046663"</f>
        <v>00046663</v>
      </c>
    </row>
    <row r="2229" spans="1:11" ht="42.75" x14ac:dyDescent="0.25">
      <c r="A2229" s="88">
        <v>108</v>
      </c>
      <c r="B2229" s="89" t="s">
        <v>4010</v>
      </c>
      <c r="C2229" s="88" t="s">
        <v>0</v>
      </c>
      <c r="D2229" s="89"/>
      <c r="E2229" s="91">
        <v>55634</v>
      </c>
      <c r="F2229" s="88">
        <v>7</v>
      </c>
      <c r="G2229" s="89" t="s">
        <v>4011</v>
      </c>
      <c r="H2229" s="89" t="s">
        <v>1628</v>
      </c>
      <c r="I2229" s="89" t="s">
        <v>80</v>
      </c>
      <c r="J2229" s="89" t="s">
        <v>80</v>
      </c>
      <c r="K2229" s="89" t="str">
        <f>"00050292"</f>
        <v>00050292</v>
      </c>
    </row>
    <row r="2230" spans="1:11" ht="99.75" x14ac:dyDescent="0.25">
      <c r="A2230" s="88">
        <v>108</v>
      </c>
      <c r="B2230" s="89" t="s">
        <v>723</v>
      </c>
      <c r="C2230" s="88" t="s">
        <v>0</v>
      </c>
      <c r="D2230" s="89"/>
      <c r="E2230" s="91">
        <v>145200</v>
      </c>
      <c r="F2230" s="88">
        <v>7</v>
      </c>
      <c r="G2230" s="89" t="s">
        <v>3994</v>
      </c>
      <c r="H2230" s="89" t="s">
        <v>3995</v>
      </c>
      <c r="I2230" s="89" t="s">
        <v>3996</v>
      </c>
      <c r="J2230" s="89" t="s">
        <v>3997</v>
      </c>
      <c r="K2230" s="89" t="str">
        <f>"00047403"</f>
        <v>00047403</v>
      </c>
    </row>
    <row r="2231" spans="1:11" ht="57" x14ac:dyDescent="0.25">
      <c r="A2231" s="88">
        <v>108</v>
      </c>
      <c r="B2231" s="89" t="s">
        <v>2980</v>
      </c>
      <c r="C2231" s="88" t="s">
        <v>0</v>
      </c>
      <c r="D2231" s="89"/>
      <c r="E2231" s="91">
        <v>36465</v>
      </c>
      <c r="F2231" s="88">
        <v>7</v>
      </c>
      <c r="G2231" s="89" t="s">
        <v>4004</v>
      </c>
      <c r="H2231" s="89" t="s">
        <v>4005</v>
      </c>
      <c r="I2231" s="89" t="s">
        <v>32</v>
      </c>
      <c r="J2231" s="89" t="s">
        <v>4006</v>
      </c>
      <c r="K2231" s="89" t="str">
        <f>"00050758"</f>
        <v>00050758</v>
      </c>
    </row>
    <row r="2232" spans="1:11" ht="42.75" x14ac:dyDescent="0.25">
      <c r="A2232" s="88">
        <v>108</v>
      </c>
      <c r="B2232" s="89" t="s">
        <v>3998</v>
      </c>
      <c r="C2232" s="88" t="s">
        <v>0</v>
      </c>
      <c r="D2232" s="89"/>
      <c r="E2232" s="91">
        <v>47334</v>
      </c>
      <c r="F2232" s="88">
        <v>7</v>
      </c>
      <c r="G2232" s="89" t="s">
        <v>3999</v>
      </c>
      <c r="H2232" s="89" t="s">
        <v>4000</v>
      </c>
      <c r="I2232" s="89" t="s">
        <v>66</v>
      </c>
      <c r="J2232" s="89" t="s">
        <v>1311</v>
      </c>
      <c r="K2232" s="89" t="str">
        <f>"00050360"</f>
        <v>00050360</v>
      </c>
    </row>
    <row r="2233" spans="1:11" ht="57" x14ac:dyDescent="0.25">
      <c r="A2233" s="88">
        <v>108</v>
      </c>
      <c r="B2233" s="89" t="s">
        <v>694</v>
      </c>
      <c r="C2233" s="88" t="s">
        <v>0</v>
      </c>
      <c r="D2233" s="89"/>
      <c r="E2233" s="91">
        <v>49328</v>
      </c>
      <c r="F2233" s="88">
        <v>7</v>
      </c>
      <c r="G2233" s="89" t="s">
        <v>1309</v>
      </c>
      <c r="H2233" s="89" t="s">
        <v>1310</v>
      </c>
      <c r="I2233" s="89" t="s">
        <v>66</v>
      </c>
      <c r="J2233" s="89" t="s">
        <v>1311</v>
      </c>
      <c r="K2233" s="89" t="s">
        <v>6093</v>
      </c>
    </row>
    <row r="2234" spans="1:11" ht="85.5" x14ac:dyDescent="0.25">
      <c r="A2234" s="88">
        <v>108</v>
      </c>
      <c r="B2234" s="89" t="s">
        <v>2980</v>
      </c>
      <c r="C2234" s="88" t="s">
        <v>0</v>
      </c>
      <c r="D2234" s="89"/>
      <c r="E2234" s="91">
        <v>8960</v>
      </c>
      <c r="F2234" s="88">
        <v>7</v>
      </c>
      <c r="G2234" s="89" t="s">
        <v>4012</v>
      </c>
      <c r="H2234" s="89" t="s">
        <v>2978</v>
      </c>
      <c r="I2234" s="89" t="s">
        <v>1371</v>
      </c>
      <c r="J2234" s="89" t="s">
        <v>2979</v>
      </c>
      <c r="K2234" s="89" t="str">
        <f>"00051189"</f>
        <v>00051189</v>
      </c>
    </row>
    <row r="2235" spans="1:11" ht="128.25" x14ac:dyDescent="0.25">
      <c r="A2235" s="88">
        <v>108</v>
      </c>
      <c r="B2235" s="89" t="s">
        <v>698</v>
      </c>
      <c r="C2235" s="88" t="s">
        <v>0</v>
      </c>
      <c r="D2235" s="89"/>
      <c r="E2235" s="91">
        <v>52417</v>
      </c>
      <c r="F2235" s="88">
        <v>7</v>
      </c>
      <c r="G2235" s="89" t="s">
        <v>4007</v>
      </c>
      <c r="H2235" s="89" t="s">
        <v>4008</v>
      </c>
      <c r="I2235" s="89" t="s">
        <v>32</v>
      </c>
      <c r="J2235" s="89" t="s">
        <v>4009</v>
      </c>
      <c r="K2235" s="89" t="str">
        <f>"00050298"</f>
        <v>00050298</v>
      </c>
    </row>
    <row r="2236" spans="1:11" ht="57" x14ac:dyDescent="0.25">
      <c r="A2236" s="88">
        <v>108</v>
      </c>
      <c r="B2236" s="89" t="s">
        <v>698</v>
      </c>
      <c r="C2236" s="88" t="s">
        <v>0</v>
      </c>
      <c r="D2236" s="89"/>
      <c r="E2236" s="91">
        <v>160418</v>
      </c>
      <c r="F2236" s="88">
        <v>7</v>
      </c>
      <c r="G2236" s="89" t="s">
        <v>4001</v>
      </c>
      <c r="H2236" s="89" t="s">
        <v>4002</v>
      </c>
      <c r="I2236" s="89" t="s">
        <v>32</v>
      </c>
      <c r="J2236" s="89" t="s">
        <v>4003</v>
      </c>
      <c r="K2236" s="89" t="str">
        <f>"00050029"</f>
        <v>00050029</v>
      </c>
    </row>
    <row r="2237" spans="1:11" ht="42.75" x14ac:dyDescent="0.25">
      <c r="A2237" s="88">
        <v>108</v>
      </c>
      <c r="B2237" s="89" t="s">
        <v>4013</v>
      </c>
      <c r="C2237" s="88" t="s">
        <v>0</v>
      </c>
      <c r="D2237" s="89"/>
      <c r="E2237" s="91">
        <v>114926</v>
      </c>
      <c r="F2237" s="88">
        <v>7</v>
      </c>
      <c r="G2237" s="89" t="s">
        <v>4016</v>
      </c>
      <c r="H2237" s="89" t="s">
        <v>4017</v>
      </c>
      <c r="I2237" s="89" t="s">
        <v>237</v>
      </c>
      <c r="J2237" s="89" t="s">
        <v>4015</v>
      </c>
      <c r="K2237" s="89" t="str">
        <f>"00048567"</f>
        <v>00048567</v>
      </c>
    </row>
    <row r="2238" spans="1:11" ht="85.5" x14ac:dyDescent="0.25">
      <c r="A2238" s="88">
        <v>108</v>
      </c>
      <c r="B2238" s="89" t="s">
        <v>1317</v>
      </c>
      <c r="C2238" s="88" t="s">
        <v>0</v>
      </c>
      <c r="D2238" s="89"/>
      <c r="E2238" s="91">
        <v>55000</v>
      </c>
      <c r="F2238" s="88">
        <v>7</v>
      </c>
      <c r="G2238" s="89" t="s">
        <v>1318</v>
      </c>
      <c r="H2238" s="89" t="s">
        <v>1319</v>
      </c>
      <c r="I2238" s="89" t="s">
        <v>1320</v>
      </c>
      <c r="J2238" s="89" t="s">
        <v>1321</v>
      </c>
      <c r="K2238" s="89" t="str">
        <f>"00047679"</f>
        <v>00047679</v>
      </c>
    </row>
    <row r="2239" spans="1:11" ht="85.5" x14ac:dyDescent="0.25">
      <c r="A2239" s="88">
        <v>108</v>
      </c>
      <c r="B2239" s="89" t="s">
        <v>4013</v>
      </c>
      <c r="C2239" s="88" t="s">
        <v>0</v>
      </c>
      <c r="D2239" s="89"/>
      <c r="E2239" s="91">
        <v>69009</v>
      </c>
      <c r="F2239" s="88">
        <v>7</v>
      </c>
      <c r="G2239" s="89" t="s">
        <v>4014</v>
      </c>
      <c r="H2239" s="89" t="s">
        <v>2332</v>
      </c>
      <c r="I2239" s="89" t="s">
        <v>237</v>
      </c>
      <c r="J2239" s="89" t="s">
        <v>4015</v>
      </c>
      <c r="K2239" s="89" t="str">
        <f>"00051243"</f>
        <v>00051243</v>
      </c>
    </row>
    <row r="2240" spans="1:11" ht="42.75" x14ac:dyDescent="0.25">
      <c r="A2240" s="88">
        <v>108</v>
      </c>
      <c r="B2240" s="89" t="s">
        <v>5443</v>
      </c>
      <c r="C2240" s="88" t="s">
        <v>0</v>
      </c>
      <c r="D2240" s="89"/>
      <c r="E2240" s="91">
        <v>32169</v>
      </c>
      <c r="F2240" s="88">
        <v>7</v>
      </c>
      <c r="G2240" s="89" t="s">
        <v>5444</v>
      </c>
      <c r="H2240" s="89" t="s">
        <v>5445</v>
      </c>
      <c r="I2240" s="89" t="s">
        <v>17</v>
      </c>
      <c r="J2240" s="89" t="s">
        <v>5446</v>
      </c>
      <c r="K2240" s="89" t="str">
        <f>"00049166"</f>
        <v>00049166</v>
      </c>
    </row>
    <row r="2241" spans="1:11" ht="42.75" x14ac:dyDescent="0.25">
      <c r="A2241" s="88">
        <v>108</v>
      </c>
      <c r="B2241" s="89" t="s">
        <v>5443</v>
      </c>
      <c r="C2241" s="88" t="s">
        <v>0</v>
      </c>
      <c r="D2241" s="89"/>
      <c r="E2241" s="91">
        <v>42641</v>
      </c>
      <c r="F2241" s="88">
        <v>7</v>
      </c>
      <c r="G2241" s="89" t="s">
        <v>5447</v>
      </c>
      <c r="H2241" s="89" t="s">
        <v>5448</v>
      </c>
      <c r="I2241" s="89" t="s">
        <v>17</v>
      </c>
      <c r="J2241" s="89" t="s">
        <v>5446</v>
      </c>
      <c r="K2241" s="89" t="str">
        <f>"00047136"</f>
        <v>00047136</v>
      </c>
    </row>
    <row r="2242" spans="1:11" ht="114" x14ac:dyDescent="0.25">
      <c r="A2242" s="88">
        <v>108</v>
      </c>
      <c r="B2242" s="89" t="s">
        <v>3994</v>
      </c>
      <c r="C2242" s="88" t="s">
        <v>0</v>
      </c>
      <c r="D2242" s="89"/>
      <c r="E2242" s="91">
        <v>14115</v>
      </c>
      <c r="F2242" s="88">
        <v>7</v>
      </c>
      <c r="G2242" s="89" t="s">
        <v>3994</v>
      </c>
      <c r="H2242" s="89" t="s">
        <v>3995</v>
      </c>
      <c r="I2242" s="89" t="s">
        <v>3996</v>
      </c>
      <c r="J2242" s="89" t="s">
        <v>3997</v>
      </c>
      <c r="K2242" s="89" t="str">
        <f>"00047403"</f>
        <v>00047403</v>
      </c>
    </row>
    <row r="2243" spans="1:11" ht="85.5" x14ac:dyDescent="0.25">
      <c r="A2243" s="88">
        <v>108</v>
      </c>
      <c r="B2243" s="89" t="s">
        <v>4641</v>
      </c>
      <c r="C2243" s="88" t="s">
        <v>0</v>
      </c>
      <c r="D2243" s="89"/>
      <c r="E2243" s="91">
        <v>71989</v>
      </c>
      <c r="F2243" s="88">
        <v>7</v>
      </c>
      <c r="G2243" s="89" t="s">
        <v>4642</v>
      </c>
      <c r="H2243" s="89" t="s">
        <v>4643</v>
      </c>
      <c r="I2243" s="89" t="s">
        <v>1315</v>
      </c>
      <c r="J2243" s="89" t="s">
        <v>1316</v>
      </c>
      <c r="K2243" s="89" t="str">
        <f>"00051279"</f>
        <v>00051279</v>
      </c>
    </row>
    <row r="2244" spans="1:11" ht="128.25" x14ac:dyDescent="0.25">
      <c r="A2244" s="88">
        <v>108</v>
      </c>
      <c r="B2244" s="89" t="s">
        <v>4530</v>
      </c>
      <c r="C2244" s="88" t="s">
        <v>0</v>
      </c>
      <c r="D2244" s="89"/>
      <c r="E2244" s="91">
        <v>100407</v>
      </c>
      <c r="F2244" s="88">
        <v>7</v>
      </c>
      <c r="G2244" s="89" t="s">
        <v>4613</v>
      </c>
      <c r="H2244" s="89" t="s">
        <v>4008</v>
      </c>
      <c r="I2244" s="89" t="s">
        <v>32</v>
      </c>
      <c r="J2244" s="89" t="s">
        <v>4009</v>
      </c>
      <c r="K2244" s="89" t="str">
        <f>"00050298"</f>
        <v>00050298</v>
      </c>
    </row>
    <row r="2245" spans="1:11" ht="114" x14ac:dyDescent="0.25">
      <c r="A2245" s="88">
        <v>108</v>
      </c>
      <c r="B2245" s="89" t="s">
        <v>4614</v>
      </c>
      <c r="C2245" s="88" t="s">
        <v>0</v>
      </c>
      <c r="D2245" s="89"/>
      <c r="E2245" s="91">
        <v>203527</v>
      </c>
      <c r="F2245" s="88">
        <v>7</v>
      </c>
      <c r="G2245" s="89" t="s">
        <v>4614</v>
      </c>
      <c r="H2245" s="89" t="s">
        <v>4615</v>
      </c>
      <c r="I2245" s="89" t="s">
        <v>1315</v>
      </c>
      <c r="J2245" s="89" t="s">
        <v>1316</v>
      </c>
      <c r="K2245" s="89" t="str">
        <f>"00048411"</f>
        <v>00048411</v>
      </c>
    </row>
    <row r="2246" spans="1:11" x14ac:dyDescent="0.25">
      <c r="A2246" s="88">
        <v>108</v>
      </c>
      <c r="B2246" s="89" t="s">
        <v>883</v>
      </c>
      <c r="C2246" s="88" t="s">
        <v>0</v>
      </c>
      <c r="D2246" s="94">
        <v>27322</v>
      </c>
      <c r="E2246" s="90"/>
      <c r="F2246" s="88">
        <v>7</v>
      </c>
      <c r="G2246" s="89" t="s">
        <v>889</v>
      </c>
      <c r="H2246" s="89"/>
      <c r="I2246" s="89" t="s">
        <v>885</v>
      </c>
      <c r="J2246" s="89"/>
      <c r="K2246" s="89" t="str">
        <f>"　"</f>
        <v>　</v>
      </c>
    </row>
    <row r="2247" spans="1:11" ht="57" x14ac:dyDescent="0.25">
      <c r="A2247" s="88">
        <v>108</v>
      </c>
      <c r="B2247" s="89" t="s">
        <v>883</v>
      </c>
      <c r="C2247" s="88" t="s">
        <v>0</v>
      </c>
      <c r="D2247" s="89"/>
      <c r="E2247" s="90">
        <v>26332</v>
      </c>
      <c r="F2247" s="88">
        <v>7</v>
      </c>
      <c r="G2247" s="89" t="s">
        <v>3403</v>
      </c>
      <c r="H2247" s="89" t="s">
        <v>3404</v>
      </c>
      <c r="I2247" s="89" t="s">
        <v>242</v>
      </c>
      <c r="J2247" s="89" t="s">
        <v>1919</v>
      </c>
      <c r="K2247" s="89" t="str">
        <f>"00052894"</f>
        <v>00052894</v>
      </c>
    </row>
    <row r="2248" spans="1:11" ht="28.5" x14ac:dyDescent="0.25">
      <c r="A2248" s="88">
        <v>108</v>
      </c>
      <c r="B2248" s="89" t="s">
        <v>12</v>
      </c>
      <c r="C2248" s="88" t="s">
        <v>0</v>
      </c>
      <c r="D2248" s="91">
        <v>30090000</v>
      </c>
      <c r="E2248" s="28"/>
      <c r="F2248" s="88">
        <v>7</v>
      </c>
      <c r="G2248" s="89" t="s">
        <v>52</v>
      </c>
      <c r="H2248" s="89"/>
      <c r="I2248" s="89" t="s">
        <v>921</v>
      </c>
      <c r="J2248" s="89"/>
      <c r="K2248" s="89" t="str">
        <f>"　"</f>
        <v>　</v>
      </c>
    </row>
    <row r="2249" spans="1:11" ht="42.75" x14ac:dyDescent="0.25">
      <c r="A2249" s="88">
        <v>108</v>
      </c>
      <c r="B2249" s="89" t="s">
        <v>4018</v>
      </c>
      <c r="C2249" s="88" t="s">
        <v>0</v>
      </c>
      <c r="D2249" s="89"/>
      <c r="E2249" s="91">
        <v>136756</v>
      </c>
      <c r="F2249" s="88">
        <v>7</v>
      </c>
      <c r="G2249" s="89" t="s">
        <v>4025</v>
      </c>
      <c r="H2249" s="89" t="s">
        <v>4026</v>
      </c>
      <c r="I2249" s="89" t="s">
        <v>32</v>
      </c>
      <c r="J2249" s="89" t="s">
        <v>4027</v>
      </c>
      <c r="K2249" s="89" t="s">
        <v>6069</v>
      </c>
    </row>
    <row r="2250" spans="1:11" ht="71.25" x14ac:dyDescent="0.25">
      <c r="A2250" s="88">
        <v>108</v>
      </c>
      <c r="B2250" s="89" t="s">
        <v>734</v>
      </c>
      <c r="C2250" s="88" t="s">
        <v>0</v>
      </c>
      <c r="D2250" s="89"/>
      <c r="E2250" s="91">
        <v>95533</v>
      </c>
      <c r="F2250" s="88">
        <v>7</v>
      </c>
      <c r="G2250" s="89" t="s">
        <v>1322</v>
      </c>
      <c r="H2250" s="89" t="s">
        <v>1323</v>
      </c>
      <c r="I2250" s="89" t="s">
        <v>32</v>
      </c>
      <c r="J2250" s="89" t="s">
        <v>1324</v>
      </c>
      <c r="K2250" s="89" t="str">
        <f>"00048049"</f>
        <v>00048049</v>
      </c>
    </row>
    <row r="2251" spans="1:11" ht="42.75" x14ac:dyDescent="0.25">
      <c r="A2251" s="88">
        <v>108</v>
      </c>
      <c r="B2251" s="89" t="s">
        <v>4018</v>
      </c>
      <c r="C2251" s="88" t="s">
        <v>0</v>
      </c>
      <c r="D2251" s="89"/>
      <c r="E2251" s="91">
        <v>179998</v>
      </c>
      <c r="F2251" s="88">
        <v>7</v>
      </c>
      <c r="G2251" s="89" t="s">
        <v>4019</v>
      </c>
      <c r="H2251" s="89" t="s">
        <v>4020</v>
      </c>
      <c r="I2251" s="89" t="s">
        <v>32</v>
      </c>
      <c r="J2251" s="89" t="s">
        <v>4021</v>
      </c>
      <c r="K2251" s="89" t="s">
        <v>5967</v>
      </c>
    </row>
    <row r="2252" spans="1:11" ht="99.75" x14ac:dyDescent="0.25">
      <c r="A2252" s="88">
        <v>108</v>
      </c>
      <c r="B2252" s="89" t="s">
        <v>734</v>
      </c>
      <c r="C2252" s="88" t="s">
        <v>0</v>
      </c>
      <c r="D2252" s="89"/>
      <c r="E2252" s="91">
        <v>22812</v>
      </c>
      <c r="F2252" s="88">
        <v>7</v>
      </c>
      <c r="G2252" s="89" t="s">
        <v>4028</v>
      </c>
      <c r="H2252" s="89" t="s">
        <v>4029</v>
      </c>
      <c r="I2252" s="89" t="s">
        <v>32</v>
      </c>
      <c r="J2252" s="89" t="s">
        <v>4030</v>
      </c>
      <c r="K2252" s="89" t="str">
        <f>"00050974"</f>
        <v>00050974</v>
      </c>
    </row>
    <row r="2253" spans="1:11" ht="42.75" x14ac:dyDescent="0.25">
      <c r="A2253" s="88">
        <v>108</v>
      </c>
      <c r="B2253" s="89" t="s">
        <v>734</v>
      </c>
      <c r="C2253" s="88" t="s">
        <v>0</v>
      </c>
      <c r="D2253" s="89"/>
      <c r="E2253" s="91">
        <v>195077</v>
      </c>
      <c r="F2253" s="88">
        <v>7</v>
      </c>
      <c r="G2253" s="89" t="s">
        <v>4022</v>
      </c>
      <c r="H2253" s="89" t="s">
        <v>4023</v>
      </c>
      <c r="I2253" s="89" t="s">
        <v>32</v>
      </c>
      <c r="J2253" s="89" t="s">
        <v>4024</v>
      </c>
      <c r="K2253" s="89" t="s">
        <v>6563</v>
      </c>
    </row>
    <row r="2254" spans="1:11" ht="28.5" x14ac:dyDescent="0.25">
      <c r="A2254" s="40">
        <v>108</v>
      </c>
      <c r="B2254" s="41" t="s">
        <v>12</v>
      </c>
      <c r="C2254" s="40" t="s">
        <v>0</v>
      </c>
      <c r="D2254" s="42">
        <v>30090000</v>
      </c>
      <c r="E2254" s="57"/>
      <c r="F2254" s="40">
        <v>7</v>
      </c>
      <c r="G2254" s="41" t="s">
        <v>52</v>
      </c>
      <c r="H2254" s="41"/>
      <c r="I2254" s="41" t="s">
        <v>921</v>
      </c>
      <c r="J2254" s="41"/>
      <c r="K2254" s="89" t="str">
        <f>"　"</f>
        <v>　</v>
      </c>
    </row>
    <row r="2255" spans="1:11" ht="156.75" x14ac:dyDescent="0.25">
      <c r="A2255" s="40">
        <v>108</v>
      </c>
      <c r="B2255" s="41" t="s">
        <v>1168</v>
      </c>
      <c r="C2255" s="40" t="s">
        <v>0</v>
      </c>
      <c r="D2255" s="41"/>
      <c r="E2255" s="42">
        <v>160000</v>
      </c>
      <c r="F2255" s="40">
        <v>7</v>
      </c>
      <c r="G2255" s="41" t="s">
        <v>1169</v>
      </c>
      <c r="H2255" s="41" t="s">
        <v>1170</v>
      </c>
      <c r="I2255" s="41" t="s">
        <v>32</v>
      </c>
      <c r="J2255" s="41" t="s">
        <v>1171</v>
      </c>
      <c r="K2255" s="89" t="s">
        <v>6562</v>
      </c>
    </row>
    <row r="2256" spans="1:11" ht="42.75" x14ac:dyDescent="0.25">
      <c r="A2256" s="40">
        <v>108</v>
      </c>
      <c r="B2256" s="41" t="s">
        <v>2650</v>
      </c>
      <c r="C2256" s="40" t="s">
        <v>0</v>
      </c>
      <c r="D2256" s="41"/>
      <c r="E2256" s="42">
        <v>98380</v>
      </c>
      <c r="F2256" s="40">
        <v>7</v>
      </c>
      <c r="G2256" s="41" t="s">
        <v>3809</v>
      </c>
      <c r="H2256" s="41" t="s">
        <v>762</v>
      </c>
      <c r="I2256" s="41" t="s">
        <v>32</v>
      </c>
      <c r="J2256" s="41" t="s">
        <v>3810</v>
      </c>
      <c r="K2256" s="89" t="str">
        <f>"00048779"</f>
        <v>00048779</v>
      </c>
    </row>
    <row r="2257" spans="1:11" ht="28.5" x14ac:dyDescent="0.25">
      <c r="A2257" s="40">
        <v>108</v>
      </c>
      <c r="B2257" s="41" t="s">
        <v>12</v>
      </c>
      <c r="C2257" s="40" t="s">
        <v>0</v>
      </c>
      <c r="D2257" s="44">
        <v>223000</v>
      </c>
      <c r="E2257" s="57"/>
      <c r="F2257" s="40">
        <v>7</v>
      </c>
      <c r="G2257" s="41" t="s">
        <v>825</v>
      </c>
      <c r="H2257" s="41"/>
      <c r="I2257" s="41" t="s">
        <v>14</v>
      </c>
      <c r="J2257" s="41"/>
      <c r="K2257" s="89" t="str">
        <f>"　"</f>
        <v>　</v>
      </c>
    </row>
    <row r="2258" spans="1:11" ht="342" x14ac:dyDescent="0.25">
      <c r="A2258" s="40">
        <v>108</v>
      </c>
      <c r="B2258" s="41" t="s">
        <v>12</v>
      </c>
      <c r="C2258" s="40" t="s">
        <v>0</v>
      </c>
      <c r="D2258" s="41"/>
      <c r="E2258" s="42">
        <v>78738</v>
      </c>
      <c r="F2258" s="40">
        <v>7</v>
      </c>
      <c r="G2258" s="41" t="s">
        <v>1360</v>
      </c>
      <c r="H2258" s="41" t="s">
        <v>1361</v>
      </c>
      <c r="I2258" s="41" t="s">
        <v>32</v>
      </c>
      <c r="J2258" s="41" t="s">
        <v>1362</v>
      </c>
      <c r="K2258" s="89" t="s">
        <v>5968</v>
      </c>
    </row>
    <row r="2259" spans="1:11" ht="342" x14ac:dyDescent="0.25">
      <c r="A2259" s="40">
        <v>108</v>
      </c>
      <c r="B2259" s="41" t="s">
        <v>12</v>
      </c>
      <c r="C2259" s="40" t="s">
        <v>0</v>
      </c>
      <c r="D2259" s="41"/>
      <c r="E2259" s="42">
        <v>73779</v>
      </c>
      <c r="F2259" s="40">
        <v>7</v>
      </c>
      <c r="G2259" s="41" t="s">
        <v>1363</v>
      </c>
      <c r="H2259" s="41" t="s">
        <v>1130</v>
      </c>
      <c r="I2259" s="41" t="s">
        <v>32</v>
      </c>
      <c r="J2259" s="41" t="s">
        <v>1362</v>
      </c>
      <c r="K2259" s="89" t="s">
        <v>6561</v>
      </c>
    </row>
    <row r="2260" spans="1:11" ht="71.25" x14ac:dyDescent="0.25">
      <c r="A2260" s="40">
        <v>108</v>
      </c>
      <c r="B2260" s="41" t="s">
        <v>4590</v>
      </c>
      <c r="C2260" s="40" t="s">
        <v>0</v>
      </c>
      <c r="D2260" s="41"/>
      <c r="E2260" s="42">
        <v>24274</v>
      </c>
      <c r="F2260" s="40">
        <v>7</v>
      </c>
      <c r="G2260" s="41" t="s">
        <v>4590</v>
      </c>
      <c r="H2260" s="41" t="s">
        <v>4591</v>
      </c>
      <c r="I2260" s="41" t="s">
        <v>4592</v>
      </c>
      <c r="J2260" s="41" t="s">
        <v>4593</v>
      </c>
      <c r="K2260" s="89" t="s">
        <v>6070</v>
      </c>
    </row>
    <row r="2261" spans="1:11" ht="285" x14ac:dyDescent="0.25">
      <c r="A2261" s="40">
        <v>108</v>
      </c>
      <c r="B2261" s="41" t="s">
        <v>4668</v>
      </c>
      <c r="C2261" s="40" t="s">
        <v>0</v>
      </c>
      <c r="D2261" s="41"/>
      <c r="E2261" s="42">
        <v>10448</v>
      </c>
      <c r="F2261" s="40">
        <v>7</v>
      </c>
      <c r="G2261" s="41" t="s">
        <v>4668</v>
      </c>
      <c r="H2261" s="41" t="s">
        <v>4669</v>
      </c>
      <c r="I2261" s="41" t="s">
        <v>32</v>
      </c>
      <c r="J2261" s="41" t="s">
        <v>84</v>
      </c>
      <c r="K2261" s="89" t="s">
        <v>5969</v>
      </c>
    </row>
    <row r="2262" spans="1:11" ht="128.25" x14ac:dyDescent="0.25">
      <c r="A2262" s="40">
        <v>108</v>
      </c>
      <c r="B2262" s="41" t="s">
        <v>4668</v>
      </c>
      <c r="C2262" s="40" t="s">
        <v>0</v>
      </c>
      <c r="D2262" s="41"/>
      <c r="E2262" s="42">
        <v>10698</v>
      </c>
      <c r="F2262" s="40">
        <v>7</v>
      </c>
      <c r="G2262" s="41" t="s">
        <v>4690</v>
      </c>
      <c r="H2262" s="41" t="s">
        <v>4669</v>
      </c>
      <c r="I2262" s="41" t="s">
        <v>32</v>
      </c>
      <c r="J2262" s="41" t="s">
        <v>1362</v>
      </c>
      <c r="K2262" s="89" t="str">
        <f>"00047061"</f>
        <v>00047061</v>
      </c>
    </row>
    <row r="2263" spans="1:11" x14ac:dyDescent="0.25">
      <c r="A2263" s="88">
        <v>108</v>
      </c>
      <c r="B2263" s="89" t="s">
        <v>883</v>
      </c>
      <c r="C2263" s="88" t="s">
        <v>0</v>
      </c>
      <c r="D2263" s="94">
        <v>60000</v>
      </c>
      <c r="E2263" s="28"/>
      <c r="F2263" s="88">
        <v>7</v>
      </c>
      <c r="G2263" s="89" t="s">
        <v>889</v>
      </c>
      <c r="H2263" s="89"/>
      <c r="I2263" s="89" t="s">
        <v>885</v>
      </c>
      <c r="J2263" s="89"/>
      <c r="K2263" s="89" t="str">
        <f>"　"</f>
        <v>　</v>
      </c>
    </row>
    <row r="2264" spans="1:11" ht="114" x14ac:dyDescent="0.25">
      <c r="A2264" s="88">
        <v>108</v>
      </c>
      <c r="B2264" s="89" t="s">
        <v>883</v>
      </c>
      <c r="C2264" s="88" t="s">
        <v>0</v>
      </c>
      <c r="D2264" s="89"/>
      <c r="E2264" s="91">
        <v>60000</v>
      </c>
      <c r="F2264" s="88">
        <v>7</v>
      </c>
      <c r="G2264" s="89" t="s">
        <v>3380</v>
      </c>
      <c r="H2264" s="89" t="s">
        <v>1990</v>
      </c>
      <c r="I2264" s="89" t="s">
        <v>32</v>
      </c>
      <c r="J2264" s="89" t="s">
        <v>708</v>
      </c>
      <c r="K2264" s="89" t="str">
        <f>"00050182"</f>
        <v>00050182</v>
      </c>
    </row>
    <row r="2265" spans="1:11" x14ac:dyDescent="0.25">
      <c r="A2265" s="88">
        <v>108</v>
      </c>
      <c r="B2265" s="89" t="s">
        <v>883</v>
      </c>
      <c r="C2265" s="88" t="s">
        <v>0</v>
      </c>
      <c r="D2265" s="94">
        <v>23325</v>
      </c>
      <c r="E2265" s="28"/>
      <c r="F2265" s="88">
        <v>7</v>
      </c>
      <c r="G2265" s="89" t="s">
        <v>889</v>
      </c>
      <c r="H2265" s="89"/>
      <c r="I2265" s="89" t="s">
        <v>885</v>
      </c>
      <c r="J2265" s="89"/>
      <c r="K2265" s="89" t="str">
        <f>"　"</f>
        <v>　</v>
      </c>
    </row>
    <row r="2266" spans="1:11" ht="42.75" x14ac:dyDescent="0.25">
      <c r="A2266" s="88">
        <v>108</v>
      </c>
      <c r="B2266" s="89" t="s">
        <v>883</v>
      </c>
      <c r="C2266" s="88" t="s">
        <v>0</v>
      </c>
      <c r="D2266" s="89"/>
      <c r="E2266" s="91">
        <v>23325</v>
      </c>
      <c r="F2266" s="88">
        <v>7</v>
      </c>
      <c r="G2266" s="89" t="s">
        <v>3377</v>
      </c>
      <c r="H2266" s="89" t="s">
        <v>3378</v>
      </c>
      <c r="I2266" s="89" t="s">
        <v>113</v>
      </c>
      <c r="J2266" s="89" t="s">
        <v>3379</v>
      </c>
      <c r="K2266" s="89" t="str">
        <f>"00047897"</f>
        <v>00047897</v>
      </c>
    </row>
    <row r="2267" spans="1:11" ht="28.5" x14ac:dyDescent="0.25">
      <c r="A2267" s="88">
        <v>108</v>
      </c>
      <c r="B2267" s="89" t="s">
        <v>883</v>
      </c>
      <c r="C2267" s="88" t="s">
        <v>0</v>
      </c>
      <c r="D2267" s="94">
        <v>18888</v>
      </c>
      <c r="E2267" s="28"/>
      <c r="F2267" s="88">
        <v>7</v>
      </c>
      <c r="G2267" s="89" t="s">
        <v>892</v>
      </c>
      <c r="H2267" s="89"/>
      <c r="I2267" s="89" t="s">
        <v>885</v>
      </c>
      <c r="J2267" s="89"/>
      <c r="K2267" s="89" t="str">
        <f>"　"</f>
        <v>　</v>
      </c>
    </row>
    <row r="2268" spans="1:11" ht="71.25" x14ac:dyDescent="0.25">
      <c r="A2268" s="88">
        <v>108</v>
      </c>
      <c r="B2268" s="89" t="s">
        <v>883</v>
      </c>
      <c r="C2268" s="88" t="s">
        <v>0</v>
      </c>
      <c r="D2268" s="89"/>
      <c r="E2268" s="91">
        <v>18888</v>
      </c>
      <c r="F2268" s="88">
        <v>7</v>
      </c>
      <c r="G2268" s="89" t="s">
        <v>909</v>
      </c>
      <c r="H2268" s="89" t="s">
        <v>575</v>
      </c>
      <c r="I2268" s="89" t="s">
        <v>66</v>
      </c>
      <c r="J2268" s="89" t="s">
        <v>302</v>
      </c>
      <c r="K2268" s="89" t="str">
        <f>"00047054"</f>
        <v>00047054</v>
      </c>
    </row>
    <row r="2269" spans="1:11" ht="28.5" x14ac:dyDescent="0.25">
      <c r="A2269" s="88">
        <v>108</v>
      </c>
      <c r="B2269" s="89" t="s">
        <v>883</v>
      </c>
      <c r="C2269" s="88" t="s">
        <v>0</v>
      </c>
      <c r="D2269" s="94">
        <v>60000</v>
      </c>
      <c r="E2269" s="28"/>
      <c r="F2269" s="88">
        <v>7</v>
      </c>
      <c r="G2269" s="89" t="s">
        <v>892</v>
      </c>
      <c r="H2269" s="89"/>
      <c r="I2269" s="89" t="s">
        <v>885</v>
      </c>
      <c r="J2269" s="89"/>
      <c r="K2269" s="89" t="str">
        <f>"　"</f>
        <v>　</v>
      </c>
    </row>
    <row r="2270" spans="1:11" ht="99.75" x14ac:dyDescent="0.25">
      <c r="A2270" s="88">
        <v>108</v>
      </c>
      <c r="B2270" s="89" t="s">
        <v>883</v>
      </c>
      <c r="C2270" s="88" t="s">
        <v>0</v>
      </c>
      <c r="D2270" s="89"/>
      <c r="E2270" s="91">
        <v>60000</v>
      </c>
      <c r="F2270" s="88">
        <v>7</v>
      </c>
      <c r="G2270" s="89" t="s">
        <v>582</v>
      </c>
      <c r="H2270" s="89" t="s">
        <v>583</v>
      </c>
      <c r="I2270" s="89" t="s">
        <v>32</v>
      </c>
      <c r="J2270" s="89" t="s">
        <v>584</v>
      </c>
      <c r="K2270" s="89" t="str">
        <f>"00047707"</f>
        <v>00047707</v>
      </c>
    </row>
    <row r="2271" spans="1:11" ht="28.5" x14ac:dyDescent="0.25">
      <c r="A2271" s="88">
        <v>108</v>
      </c>
      <c r="B2271" s="89" t="s">
        <v>883</v>
      </c>
      <c r="C2271" s="88" t="s">
        <v>0</v>
      </c>
      <c r="D2271" s="94">
        <v>28525</v>
      </c>
      <c r="E2271" s="28"/>
      <c r="F2271" s="88">
        <v>7</v>
      </c>
      <c r="G2271" s="89" t="s">
        <v>892</v>
      </c>
      <c r="H2271" s="89"/>
      <c r="I2271" s="89" t="s">
        <v>885</v>
      </c>
      <c r="J2271" s="89"/>
      <c r="K2271" s="89" t="str">
        <f>"　"</f>
        <v>　</v>
      </c>
    </row>
    <row r="2272" spans="1:11" ht="71.25" x14ac:dyDescent="0.25">
      <c r="A2272" s="88">
        <v>108</v>
      </c>
      <c r="B2272" s="89" t="s">
        <v>883</v>
      </c>
      <c r="C2272" s="88" t="s">
        <v>0</v>
      </c>
      <c r="D2272" s="89"/>
      <c r="E2272" s="91">
        <v>28525</v>
      </c>
      <c r="F2272" s="88">
        <v>7</v>
      </c>
      <c r="G2272" s="89" t="s">
        <v>3430</v>
      </c>
      <c r="H2272" s="89" t="s">
        <v>3431</v>
      </c>
      <c r="I2272" s="89" t="s">
        <v>17</v>
      </c>
      <c r="J2272" s="89" t="s">
        <v>3432</v>
      </c>
      <c r="K2272" s="89" t="str">
        <f>"00048177"</f>
        <v>00048177</v>
      </c>
    </row>
    <row r="2273" spans="1:11" ht="28.5" x14ac:dyDescent="0.25">
      <c r="A2273" s="88">
        <v>108</v>
      </c>
      <c r="B2273" s="89" t="s">
        <v>12</v>
      </c>
      <c r="C2273" s="88" t="s">
        <v>0</v>
      </c>
      <c r="D2273" s="91">
        <v>30090000</v>
      </c>
      <c r="E2273" s="28"/>
      <c r="F2273" s="88">
        <v>7</v>
      </c>
      <c r="G2273" s="89" t="s">
        <v>52</v>
      </c>
      <c r="H2273" s="89"/>
      <c r="I2273" s="89" t="s">
        <v>921</v>
      </c>
      <c r="J2273" s="89"/>
      <c r="K2273" s="89" t="str">
        <f>"　"</f>
        <v>　</v>
      </c>
    </row>
    <row r="2274" spans="1:11" ht="71.25" x14ac:dyDescent="0.25">
      <c r="A2274" s="88">
        <v>108</v>
      </c>
      <c r="B2274" s="89" t="s">
        <v>1183</v>
      </c>
      <c r="C2274" s="88" t="s">
        <v>0</v>
      </c>
      <c r="D2274" s="89"/>
      <c r="E2274" s="91">
        <v>13300</v>
      </c>
      <c r="F2274" s="88">
        <v>7</v>
      </c>
      <c r="G2274" s="89" t="s">
        <v>1184</v>
      </c>
      <c r="H2274" s="89" t="s">
        <v>1185</v>
      </c>
      <c r="I2274" s="89" t="s">
        <v>156</v>
      </c>
      <c r="J2274" s="89" t="s">
        <v>1186</v>
      </c>
      <c r="K2274" s="89" t="str">
        <f>"00047043"</f>
        <v>00047043</v>
      </c>
    </row>
    <row r="2275" spans="1:11" ht="71.25" x14ac:dyDescent="0.25">
      <c r="A2275" s="88">
        <v>108</v>
      </c>
      <c r="B2275" s="89" t="s">
        <v>1183</v>
      </c>
      <c r="C2275" s="88" t="s">
        <v>0</v>
      </c>
      <c r="D2275" s="89"/>
      <c r="E2275" s="91">
        <v>26916</v>
      </c>
      <c r="F2275" s="88">
        <v>7</v>
      </c>
      <c r="G2275" s="89" t="s">
        <v>1184</v>
      </c>
      <c r="H2275" s="89" t="s">
        <v>1185</v>
      </c>
      <c r="I2275" s="89" t="s">
        <v>156</v>
      </c>
      <c r="J2275" s="89" t="s">
        <v>1186</v>
      </c>
      <c r="K2275" s="89" t="str">
        <f>"00047044"</f>
        <v>00047044</v>
      </c>
    </row>
    <row r="2276" spans="1:11" ht="57" x14ac:dyDescent="0.25">
      <c r="A2276" s="88">
        <v>108</v>
      </c>
      <c r="B2276" s="89" t="s">
        <v>1177</v>
      </c>
      <c r="C2276" s="88" t="s">
        <v>0</v>
      </c>
      <c r="D2276" s="89"/>
      <c r="E2276" s="91">
        <v>72197</v>
      </c>
      <c r="F2276" s="88">
        <v>7</v>
      </c>
      <c r="G2276" s="89" t="s">
        <v>1178</v>
      </c>
      <c r="H2276" s="89" t="s">
        <v>1179</v>
      </c>
      <c r="I2276" s="89" t="s">
        <v>1180</v>
      </c>
      <c r="J2276" s="89" t="s">
        <v>1181</v>
      </c>
      <c r="K2276" s="89" t="str">
        <f>"00046920"</f>
        <v>00046920</v>
      </c>
    </row>
    <row r="2277" spans="1:11" ht="57" x14ac:dyDescent="0.25">
      <c r="A2277" s="88">
        <v>108</v>
      </c>
      <c r="B2277" s="89" t="s">
        <v>1177</v>
      </c>
      <c r="C2277" s="88" t="s">
        <v>0</v>
      </c>
      <c r="D2277" s="89"/>
      <c r="E2277" s="91">
        <v>72197</v>
      </c>
      <c r="F2277" s="88">
        <v>7</v>
      </c>
      <c r="G2277" s="89" t="s">
        <v>1182</v>
      </c>
      <c r="H2277" s="89" t="s">
        <v>1179</v>
      </c>
      <c r="I2277" s="89" t="s">
        <v>1180</v>
      </c>
      <c r="J2277" s="89" t="s">
        <v>1181</v>
      </c>
      <c r="K2277" s="89" t="str">
        <f>"00046929"</f>
        <v>00046929</v>
      </c>
    </row>
    <row r="2278" spans="1:11" ht="71.25" x14ac:dyDescent="0.25">
      <c r="A2278" s="88">
        <v>108</v>
      </c>
      <c r="B2278" s="89" t="s">
        <v>1172</v>
      </c>
      <c r="C2278" s="88" t="s">
        <v>0</v>
      </c>
      <c r="D2278" s="89"/>
      <c r="E2278" s="91">
        <v>60071</v>
      </c>
      <c r="F2278" s="88">
        <v>7</v>
      </c>
      <c r="G2278" s="89" t="s">
        <v>1173</v>
      </c>
      <c r="H2278" s="89" t="s">
        <v>1176</v>
      </c>
      <c r="I2278" s="89" t="s">
        <v>152</v>
      </c>
      <c r="J2278" s="89" t="s">
        <v>1175</v>
      </c>
      <c r="K2278" s="89" t="str">
        <f>"00047833"</f>
        <v>00047833</v>
      </c>
    </row>
    <row r="2279" spans="1:11" ht="42.75" x14ac:dyDescent="0.25">
      <c r="A2279" s="88">
        <v>108</v>
      </c>
      <c r="B2279" s="89" t="s">
        <v>1187</v>
      </c>
      <c r="C2279" s="88" t="s">
        <v>0</v>
      </c>
      <c r="D2279" s="89"/>
      <c r="E2279" s="91">
        <v>37864</v>
      </c>
      <c r="F2279" s="88">
        <v>7</v>
      </c>
      <c r="G2279" s="89" t="s">
        <v>1188</v>
      </c>
      <c r="H2279" s="89" t="s">
        <v>1189</v>
      </c>
      <c r="I2279" s="89" t="s">
        <v>66</v>
      </c>
      <c r="J2279" s="89" t="s">
        <v>1190</v>
      </c>
      <c r="K2279" s="89" t="str">
        <f>"00048210"</f>
        <v>00048210</v>
      </c>
    </row>
    <row r="2280" spans="1:11" ht="71.25" x14ac:dyDescent="0.25">
      <c r="A2280" s="88">
        <v>108</v>
      </c>
      <c r="B2280" s="89" t="s">
        <v>1172</v>
      </c>
      <c r="C2280" s="88" t="s">
        <v>0</v>
      </c>
      <c r="D2280" s="89"/>
      <c r="E2280" s="91">
        <v>60180</v>
      </c>
      <c r="F2280" s="88">
        <v>7</v>
      </c>
      <c r="G2280" s="89" t="s">
        <v>1173</v>
      </c>
      <c r="H2280" s="89" t="s">
        <v>1174</v>
      </c>
      <c r="I2280" s="89" t="s">
        <v>152</v>
      </c>
      <c r="J2280" s="89" t="s">
        <v>1175</v>
      </c>
      <c r="K2280" s="89" t="str">
        <f>"00048005"</f>
        <v>00048005</v>
      </c>
    </row>
    <row r="2281" spans="1:11" ht="42.75" x14ac:dyDescent="0.25">
      <c r="A2281" s="88">
        <v>108</v>
      </c>
      <c r="B2281" s="89" t="s">
        <v>3815</v>
      </c>
      <c r="C2281" s="88" t="s">
        <v>0</v>
      </c>
      <c r="D2281" s="89"/>
      <c r="E2281" s="91">
        <v>63676</v>
      </c>
      <c r="F2281" s="88">
        <v>7</v>
      </c>
      <c r="G2281" s="89" t="s">
        <v>3816</v>
      </c>
      <c r="H2281" s="89" t="s">
        <v>3253</v>
      </c>
      <c r="I2281" s="89" t="s">
        <v>66</v>
      </c>
      <c r="J2281" s="89" t="s">
        <v>148</v>
      </c>
      <c r="K2281" s="89" t="s">
        <v>6531</v>
      </c>
    </row>
    <row r="2282" spans="1:11" ht="71.25" x14ac:dyDescent="0.25">
      <c r="A2282" s="88">
        <v>108</v>
      </c>
      <c r="B2282" s="89" t="s">
        <v>3817</v>
      </c>
      <c r="C2282" s="88" t="s">
        <v>0</v>
      </c>
      <c r="D2282" s="89"/>
      <c r="E2282" s="91">
        <v>105035</v>
      </c>
      <c r="F2282" s="88">
        <v>7</v>
      </c>
      <c r="G2282" s="89" t="s">
        <v>3818</v>
      </c>
      <c r="H2282" s="89" t="s">
        <v>3819</v>
      </c>
      <c r="I2282" s="89" t="s">
        <v>1315</v>
      </c>
      <c r="J2282" s="89" t="s">
        <v>3820</v>
      </c>
      <c r="K2282" s="89" t="str">
        <f>"00051444"</f>
        <v>00051444</v>
      </c>
    </row>
    <row r="2283" spans="1:11" ht="85.5" x14ac:dyDescent="0.25">
      <c r="A2283" s="88">
        <v>108</v>
      </c>
      <c r="B2283" s="89" t="s">
        <v>1183</v>
      </c>
      <c r="C2283" s="88" t="s">
        <v>0</v>
      </c>
      <c r="D2283" s="89"/>
      <c r="E2283" s="91">
        <v>63284</v>
      </c>
      <c r="F2283" s="88">
        <v>7</v>
      </c>
      <c r="G2283" s="89" t="s">
        <v>3812</v>
      </c>
      <c r="H2283" s="89" t="s">
        <v>3813</v>
      </c>
      <c r="I2283" s="89" t="s">
        <v>66</v>
      </c>
      <c r="J2283" s="89" t="s">
        <v>3814</v>
      </c>
      <c r="K2283" s="89" t="str">
        <f>"00048260"</f>
        <v>00048260</v>
      </c>
    </row>
    <row r="2284" spans="1:11" ht="71.25" x14ac:dyDescent="0.25">
      <c r="A2284" s="88">
        <v>108</v>
      </c>
      <c r="B2284" s="89" t="s">
        <v>2684</v>
      </c>
      <c r="C2284" s="88" t="s">
        <v>0</v>
      </c>
      <c r="D2284" s="89"/>
      <c r="E2284" s="91">
        <v>7765</v>
      </c>
      <c r="F2284" s="88">
        <v>7</v>
      </c>
      <c r="G2284" s="89" t="s">
        <v>3811</v>
      </c>
      <c r="H2284" s="89" t="s">
        <v>2382</v>
      </c>
      <c r="I2284" s="89" t="s">
        <v>746</v>
      </c>
      <c r="J2284" s="89" t="s">
        <v>2686</v>
      </c>
      <c r="K2284" s="89" t="str">
        <f>"00049383"</f>
        <v>00049383</v>
      </c>
    </row>
    <row r="2285" spans="1:11" ht="71.25" x14ac:dyDescent="0.25">
      <c r="A2285" s="88">
        <v>108</v>
      </c>
      <c r="B2285" s="89" t="s">
        <v>2684</v>
      </c>
      <c r="C2285" s="88" t="s">
        <v>0</v>
      </c>
      <c r="D2285" s="89"/>
      <c r="E2285" s="91">
        <v>7765</v>
      </c>
      <c r="F2285" s="88">
        <v>7</v>
      </c>
      <c r="G2285" s="89" t="s">
        <v>3811</v>
      </c>
      <c r="H2285" s="89" t="s">
        <v>2382</v>
      </c>
      <c r="I2285" s="89" t="s">
        <v>746</v>
      </c>
      <c r="J2285" s="89" t="s">
        <v>2686</v>
      </c>
      <c r="K2285" s="89" t="str">
        <f>"00049295"</f>
        <v>00049295</v>
      </c>
    </row>
    <row r="2286" spans="1:11" ht="99.75" x14ac:dyDescent="0.25">
      <c r="A2286" s="88">
        <v>108</v>
      </c>
      <c r="B2286" s="89" t="s">
        <v>3821</v>
      </c>
      <c r="C2286" s="88" t="s">
        <v>0</v>
      </c>
      <c r="D2286" s="89"/>
      <c r="E2286" s="91">
        <v>21125</v>
      </c>
      <c r="F2286" s="88">
        <v>7</v>
      </c>
      <c r="G2286" s="89" t="s">
        <v>3822</v>
      </c>
      <c r="H2286" s="89" t="s">
        <v>3823</v>
      </c>
      <c r="I2286" s="89" t="s">
        <v>66</v>
      </c>
      <c r="J2286" s="89" t="s">
        <v>1311</v>
      </c>
      <c r="K2286" s="89" t="s">
        <v>6530</v>
      </c>
    </row>
    <row r="2287" spans="1:11" ht="28.5" x14ac:dyDescent="0.25">
      <c r="A2287" s="88">
        <v>108</v>
      </c>
      <c r="B2287" s="89" t="s">
        <v>12</v>
      </c>
      <c r="C2287" s="88" t="s">
        <v>0</v>
      </c>
      <c r="D2287" s="94">
        <v>100000</v>
      </c>
      <c r="E2287" s="28"/>
      <c r="F2287" s="88">
        <v>7</v>
      </c>
      <c r="G2287" s="89" t="s">
        <v>858</v>
      </c>
      <c r="H2287" s="89"/>
      <c r="I2287" s="89" t="s">
        <v>14</v>
      </c>
      <c r="J2287" s="89"/>
      <c r="K2287" s="89" t="str">
        <f>"　"</f>
        <v>　</v>
      </c>
    </row>
    <row r="2288" spans="1:11" ht="71.25" x14ac:dyDescent="0.25">
      <c r="A2288" s="88">
        <v>108</v>
      </c>
      <c r="B2288" s="89" t="s">
        <v>12</v>
      </c>
      <c r="C2288" s="88" t="s">
        <v>0</v>
      </c>
      <c r="D2288" s="89"/>
      <c r="E2288" s="91">
        <v>64055</v>
      </c>
      <c r="F2288" s="88">
        <v>7</v>
      </c>
      <c r="G2288" s="89" t="s">
        <v>4116</v>
      </c>
      <c r="H2288" s="89" t="s">
        <v>4117</v>
      </c>
      <c r="I2288" s="89" t="s">
        <v>32</v>
      </c>
      <c r="J2288" s="89" t="s">
        <v>4118</v>
      </c>
      <c r="K2288" s="89" t="str">
        <f>"00051423"</f>
        <v>00051423</v>
      </c>
    </row>
    <row r="2289" spans="1:11" ht="28.5" x14ac:dyDescent="0.25">
      <c r="A2289" s="88">
        <v>108</v>
      </c>
      <c r="B2289" s="89" t="s">
        <v>12</v>
      </c>
      <c r="C2289" s="88" t="s">
        <v>0</v>
      </c>
      <c r="D2289" s="94">
        <v>90000</v>
      </c>
      <c r="E2289" s="28"/>
      <c r="F2289" s="88">
        <v>7</v>
      </c>
      <c r="G2289" s="89" t="s">
        <v>858</v>
      </c>
      <c r="H2289" s="89"/>
      <c r="I2289" s="89" t="s">
        <v>14</v>
      </c>
      <c r="J2289" s="89"/>
      <c r="K2289" s="89" t="str">
        <f>"　"</f>
        <v>　</v>
      </c>
    </row>
    <row r="2290" spans="1:11" ht="85.5" x14ac:dyDescent="0.25">
      <c r="A2290" s="88">
        <v>108</v>
      </c>
      <c r="B2290" s="89" t="s">
        <v>12</v>
      </c>
      <c r="C2290" s="88" t="s">
        <v>0</v>
      </c>
      <c r="D2290" s="89"/>
      <c r="E2290" s="91">
        <v>90000</v>
      </c>
      <c r="F2290" s="88">
        <v>7</v>
      </c>
      <c r="G2290" s="89" t="s">
        <v>4119</v>
      </c>
      <c r="H2290" s="89" t="s">
        <v>4120</v>
      </c>
      <c r="I2290" s="89" t="s">
        <v>32</v>
      </c>
      <c r="J2290" s="89" t="s">
        <v>4118</v>
      </c>
      <c r="K2290" s="89" t="str">
        <f>"00051418"</f>
        <v>00051418</v>
      </c>
    </row>
    <row r="2291" spans="1:11" x14ac:dyDescent="0.25">
      <c r="A2291" s="88">
        <v>108</v>
      </c>
      <c r="B2291" s="89" t="s">
        <v>883</v>
      </c>
      <c r="C2291" s="88" t="s">
        <v>0</v>
      </c>
      <c r="D2291" s="94">
        <v>60000</v>
      </c>
      <c r="E2291" s="28"/>
      <c r="F2291" s="88">
        <v>7</v>
      </c>
      <c r="G2291" s="89" t="s">
        <v>889</v>
      </c>
      <c r="H2291" s="89"/>
      <c r="I2291" s="89" t="s">
        <v>885</v>
      </c>
      <c r="J2291" s="89"/>
      <c r="K2291" s="89" t="str">
        <f>"　"</f>
        <v>　</v>
      </c>
    </row>
    <row r="2292" spans="1:11" ht="57" x14ac:dyDescent="0.25">
      <c r="A2292" s="88">
        <v>108</v>
      </c>
      <c r="B2292" s="89" t="s">
        <v>883</v>
      </c>
      <c r="C2292" s="88" t="s">
        <v>0</v>
      </c>
      <c r="D2292" s="89"/>
      <c r="E2292" s="91">
        <v>60000</v>
      </c>
      <c r="F2292" s="88">
        <v>7</v>
      </c>
      <c r="G2292" s="89" t="s">
        <v>3405</v>
      </c>
      <c r="H2292" s="89" t="s">
        <v>3406</v>
      </c>
      <c r="I2292" s="89" t="s">
        <v>32</v>
      </c>
      <c r="J2292" s="89" t="s">
        <v>262</v>
      </c>
      <c r="K2292" s="89" t="s">
        <v>6560</v>
      </c>
    </row>
    <row r="2293" spans="1:11" x14ac:dyDescent="0.25">
      <c r="A2293" s="88">
        <v>108</v>
      </c>
      <c r="B2293" s="89" t="s">
        <v>883</v>
      </c>
      <c r="C2293" s="88" t="s">
        <v>0</v>
      </c>
      <c r="D2293" s="94">
        <v>58740</v>
      </c>
      <c r="E2293" s="28"/>
      <c r="F2293" s="88">
        <v>7</v>
      </c>
      <c r="G2293" s="89" t="s">
        <v>889</v>
      </c>
      <c r="H2293" s="89"/>
      <c r="I2293" s="89" t="s">
        <v>885</v>
      </c>
      <c r="J2293" s="89"/>
      <c r="K2293" s="89" t="str">
        <f>"　"</f>
        <v>　</v>
      </c>
    </row>
    <row r="2294" spans="1:11" ht="42.75" x14ac:dyDescent="0.25">
      <c r="A2294" s="88">
        <v>108</v>
      </c>
      <c r="B2294" s="89" t="s">
        <v>883</v>
      </c>
      <c r="C2294" s="88" t="s">
        <v>0</v>
      </c>
      <c r="D2294" s="89"/>
      <c r="E2294" s="91">
        <v>58740</v>
      </c>
      <c r="F2294" s="88">
        <v>7</v>
      </c>
      <c r="G2294" s="89" t="s">
        <v>3410</v>
      </c>
      <c r="H2294" s="89" t="s">
        <v>3411</v>
      </c>
      <c r="I2294" s="89" t="s">
        <v>32</v>
      </c>
      <c r="J2294" s="89" t="s">
        <v>3412</v>
      </c>
      <c r="K2294" s="89" t="str">
        <f>"00049464"</f>
        <v>00049464</v>
      </c>
    </row>
    <row r="2295" spans="1:11" x14ac:dyDescent="0.25">
      <c r="A2295" s="88">
        <v>108</v>
      </c>
      <c r="B2295" s="89" t="s">
        <v>883</v>
      </c>
      <c r="C2295" s="88" t="s">
        <v>0</v>
      </c>
      <c r="D2295" s="94">
        <v>43635</v>
      </c>
      <c r="E2295" s="28"/>
      <c r="F2295" s="88">
        <v>7</v>
      </c>
      <c r="G2295" s="89" t="s">
        <v>889</v>
      </c>
      <c r="H2295" s="89"/>
      <c r="I2295" s="89" t="s">
        <v>885</v>
      </c>
      <c r="J2295" s="89"/>
      <c r="K2295" s="89" t="str">
        <f>"　"</f>
        <v>　</v>
      </c>
    </row>
    <row r="2296" spans="1:11" ht="42.75" x14ac:dyDescent="0.25">
      <c r="A2296" s="88">
        <v>108</v>
      </c>
      <c r="B2296" s="89" t="s">
        <v>883</v>
      </c>
      <c r="C2296" s="88" t="s">
        <v>0</v>
      </c>
      <c r="D2296" s="89"/>
      <c r="E2296" s="91">
        <v>43635</v>
      </c>
      <c r="F2296" s="88">
        <v>7</v>
      </c>
      <c r="G2296" s="89" t="s">
        <v>749</v>
      </c>
      <c r="H2296" s="89" t="s">
        <v>3407</v>
      </c>
      <c r="I2296" s="89" t="s">
        <v>17</v>
      </c>
      <c r="J2296" s="89" t="s">
        <v>2440</v>
      </c>
      <c r="K2296" s="89" t="s">
        <v>6559</v>
      </c>
    </row>
    <row r="2297" spans="1:11" x14ac:dyDescent="0.25">
      <c r="A2297" s="88">
        <v>108</v>
      </c>
      <c r="B2297" s="89" t="s">
        <v>883</v>
      </c>
      <c r="C2297" s="88" t="s">
        <v>0</v>
      </c>
      <c r="D2297" s="94">
        <v>3124</v>
      </c>
      <c r="E2297" s="28"/>
      <c r="F2297" s="88">
        <v>7</v>
      </c>
      <c r="G2297" s="89" t="s">
        <v>889</v>
      </c>
      <c r="H2297" s="89"/>
      <c r="I2297" s="89" t="s">
        <v>885</v>
      </c>
      <c r="J2297" s="89"/>
      <c r="K2297" s="89" t="str">
        <f>"　"</f>
        <v>　</v>
      </c>
    </row>
    <row r="2298" spans="1:11" ht="114" x14ac:dyDescent="0.25">
      <c r="A2298" s="88">
        <v>108</v>
      </c>
      <c r="B2298" s="89" t="s">
        <v>883</v>
      </c>
      <c r="C2298" s="88" t="s">
        <v>0</v>
      </c>
      <c r="D2298" s="89"/>
      <c r="E2298" s="91">
        <v>3124</v>
      </c>
      <c r="F2298" s="88">
        <v>7</v>
      </c>
      <c r="G2298" s="89" t="s">
        <v>3408</v>
      </c>
      <c r="H2298" s="89" t="s">
        <v>3409</v>
      </c>
      <c r="I2298" s="89" t="s">
        <v>32</v>
      </c>
      <c r="J2298" s="89" t="s">
        <v>36</v>
      </c>
      <c r="K2298" s="89" t="s">
        <v>6558</v>
      </c>
    </row>
    <row r="2299" spans="1:11" x14ac:dyDescent="0.25">
      <c r="A2299" s="88">
        <v>108</v>
      </c>
      <c r="B2299" s="89" t="s">
        <v>883</v>
      </c>
      <c r="C2299" s="88" t="s">
        <v>0</v>
      </c>
      <c r="D2299" s="94">
        <v>36230</v>
      </c>
      <c r="E2299" s="28"/>
      <c r="F2299" s="88">
        <v>7</v>
      </c>
      <c r="G2299" s="89" t="s">
        <v>889</v>
      </c>
      <c r="H2299" s="89"/>
      <c r="I2299" s="89" t="s">
        <v>885</v>
      </c>
      <c r="J2299" s="89"/>
      <c r="K2299" s="89" t="str">
        <f>"　"</f>
        <v>　</v>
      </c>
    </row>
    <row r="2300" spans="1:11" ht="57" x14ac:dyDescent="0.25">
      <c r="A2300" s="88">
        <v>108</v>
      </c>
      <c r="B2300" s="89" t="s">
        <v>883</v>
      </c>
      <c r="C2300" s="88" t="s">
        <v>0</v>
      </c>
      <c r="D2300" s="89"/>
      <c r="E2300" s="91">
        <v>36230</v>
      </c>
      <c r="F2300" s="88">
        <v>7</v>
      </c>
      <c r="G2300" s="89" t="s">
        <v>890</v>
      </c>
      <c r="H2300" s="89" t="s">
        <v>891</v>
      </c>
      <c r="I2300" s="89" t="s">
        <v>32</v>
      </c>
      <c r="J2300" s="89" t="s">
        <v>33</v>
      </c>
      <c r="K2300" s="89" t="s">
        <v>6557</v>
      </c>
    </row>
    <row r="2301" spans="1:11" ht="28.5" x14ac:dyDescent="0.25">
      <c r="A2301" s="88">
        <v>108</v>
      </c>
      <c r="B2301" s="89" t="s">
        <v>883</v>
      </c>
      <c r="C2301" s="88" t="s">
        <v>0</v>
      </c>
      <c r="D2301" s="94">
        <v>60000</v>
      </c>
      <c r="E2301" s="28"/>
      <c r="F2301" s="88">
        <v>7</v>
      </c>
      <c r="G2301" s="89" t="s">
        <v>892</v>
      </c>
      <c r="H2301" s="89"/>
      <c r="I2301" s="89" t="s">
        <v>885</v>
      </c>
      <c r="J2301" s="89"/>
      <c r="K2301" s="89" t="str">
        <f>"　"</f>
        <v>　</v>
      </c>
    </row>
    <row r="2302" spans="1:11" ht="57" x14ac:dyDescent="0.25">
      <c r="A2302" s="88">
        <v>108</v>
      </c>
      <c r="B2302" s="89" t="s">
        <v>883</v>
      </c>
      <c r="C2302" s="88" t="s">
        <v>0</v>
      </c>
      <c r="D2302" s="89"/>
      <c r="E2302" s="91">
        <v>60000</v>
      </c>
      <c r="F2302" s="88">
        <v>7</v>
      </c>
      <c r="G2302" s="89" t="s">
        <v>920</v>
      </c>
      <c r="H2302" s="89" t="s">
        <v>731</v>
      </c>
      <c r="I2302" s="89" t="s">
        <v>32</v>
      </c>
      <c r="J2302" s="89" t="s">
        <v>33</v>
      </c>
      <c r="K2302" s="89" t="str">
        <f>"00047140"</f>
        <v>00047140</v>
      </c>
    </row>
    <row r="2303" spans="1:11" ht="28.5" x14ac:dyDescent="0.25">
      <c r="A2303" s="88">
        <v>108</v>
      </c>
      <c r="B2303" s="89" t="s">
        <v>883</v>
      </c>
      <c r="C2303" s="88" t="s">
        <v>0</v>
      </c>
      <c r="D2303" s="94">
        <v>58654</v>
      </c>
      <c r="E2303" s="28"/>
      <c r="F2303" s="88">
        <v>7</v>
      </c>
      <c r="G2303" s="89" t="s">
        <v>892</v>
      </c>
      <c r="H2303" s="89"/>
      <c r="I2303" s="89" t="s">
        <v>885</v>
      </c>
      <c r="J2303" s="89"/>
      <c r="K2303" s="89" t="str">
        <f>"　"</f>
        <v>　</v>
      </c>
    </row>
    <row r="2304" spans="1:11" ht="57" x14ac:dyDescent="0.25">
      <c r="A2304" s="88">
        <v>108</v>
      </c>
      <c r="B2304" s="89" t="s">
        <v>883</v>
      </c>
      <c r="C2304" s="88" t="s">
        <v>0</v>
      </c>
      <c r="D2304" s="89"/>
      <c r="E2304" s="91">
        <v>58654</v>
      </c>
      <c r="F2304" s="88">
        <v>7</v>
      </c>
      <c r="G2304" s="89" t="s">
        <v>3066</v>
      </c>
      <c r="H2304" s="89" t="s">
        <v>3067</v>
      </c>
      <c r="I2304" s="89" t="s">
        <v>161</v>
      </c>
      <c r="J2304" s="89" t="s">
        <v>1680</v>
      </c>
      <c r="K2304" s="89" t="str">
        <f>"00049046"</f>
        <v>00049046</v>
      </c>
    </row>
    <row r="2305" spans="1:11" x14ac:dyDescent="0.25">
      <c r="A2305" s="15">
        <v>108</v>
      </c>
      <c r="B2305" s="28" t="s">
        <v>12</v>
      </c>
      <c r="C2305" s="88" t="s">
        <v>0</v>
      </c>
      <c r="D2305" s="91">
        <v>30090000</v>
      </c>
      <c r="E2305" s="28"/>
      <c r="F2305" s="15">
        <v>7</v>
      </c>
      <c r="G2305" s="89" t="s">
        <v>52</v>
      </c>
      <c r="H2305" s="28"/>
      <c r="I2305" s="28" t="s">
        <v>921</v>
      </c>
      <c r="J2305" s="28"/>
      <c r="K2305" s="28" t="str">
        <f>"　"</f>
        <v>　</v>
      </c>
    </row>
    <row r="2306" spans="1:11" ht="57" x14ac:dyDescent="0.25">
      <c r="A2306" s="88">
        <v>108</v>
      </c>
      <c r="B2306" s="89" t="s">
        <v>756</v>
      </c>
      <c r="C2306" s="88" t="s">
        <v>0</v>
      </c>
      <c r="D2306" s="89"/>
      <c r="E2306" s="91">
        <v>43501</v>
      </c>
      <c r="F2306" s="88">
        <v>7</v>
      </c>
      <c r="G2306" s="89" t="s">
        <v>1328</v>
      </c>
      <c r="H2306" s="89" t="s">
        <v>1329</v>
      </c>
      <c r="I2306" s="89" t="s">
        <v>32</v>
      </c>
      <c r="J2306" s="89" t="s">
        <v>759</v>
      </c>
      <c r="K2306" s="89" t="s">
        <v>6556</v>
      </c>
    </row>
    <row r="2307" spans="1:11" ht="57" x14ac:dyDescent="0.25">
      <c r="A2307" s="88">
        <v>108</v>
      </c>
      <c r="B2307" s="89" t="s">
        <v>1330</v>
      </c>
      <c r="C2307" s="88" t="s">
        <v>0</v>
      </c>
      <c r="D2307" s="89"/>
      <c r="E2307" s="91">
        <v>51283</v>
      </c>
      <c r="F2307" s="88">
        <v>7</v>
      </c>
      <c r="G2307" s="89" t="s">
        <v>1331</v>
      </c>
      <c r="H2307" s="89" t="s">
        <v>1332</v>
      </c>
      <c r="I2307" s="89" t="s">
        <v>32</v>
      </c>
      <c r="J2307" s="89" t="s">
        <v>924</v>
      </c>
      <c r="K2307" s="89" t="s">
        <v>6555</v>
      </c>
    </row>
    <row r="2308" spans="1:11" ht="71.25" x14ac:dyDescent="0.25">
      <c r="A2308" s="88">
        <v>108</v>
      </c>
      <c r="B2308" s="89" t="s">
        <v>1333</v>
      </c>
      <c r="C2308" s="88" t="s">
        <v>0</v>
      </c>
      <c r="D2308" s="89"/>
      <c r="E2308" s="91">
        <v>40499</v>
      </c>
      <c r="F2308" s="88">
        <v>7</v>
      </c>
      <c r="G2308" s="89" t="s">
        <v>1334</v>
      </c>
      <c r="H2308" s="89" t="s">
        <v>176</v>
      </c>
      <c r="I2308" s="89" t="s">
        <v>66</v>
      </c>
      <c r="J2308" s="89" t="s">
        <v>125</v>
      </c>
      <c r="K2308" s="89" t="str">
        <f>"00046861"</f>
        <v>00046861</v>
      </c>
    </row>
    <row r="2309" spans="1:11" ht="42.75" x14ac:dyDescent="0.25">
      <c r="A2309" s="88">
        <v>108</v>
      </c>
      <c r="B2309" s="89" t="s">
        <v>756</v>
      </c>
      <c r="C2309" s="88" t="s">
        <v>0</v>
      </c>
      <c r="D2309" s="89"/>
      <c r="E2309" s="91">
        <v>41545</v>
      </c>
      <c r="F2309" s="88">
        <v>7</v>
      </c>
      <c r="G2309" s="89" t="s">
        <v>1328</v>
      </c>
      <c r="H2309" s="89" t="s">
        <v>4036</v>
      </c>
      <c r="I2309" s="89" t="s">
        <v>32</v>
      </c>
      <c r="J2309" s="89" t="s">
        <v>924</v>
      </c>
      <c r="K2309" s="89" t="s">
        <v>6554</v>
      </c>
    </row>
    <row r="2310" spans="1:11" ht="128.25" x14ac:dyDescent="0.25">
      <c r="A2310" s="88">
        <v>108</v>
      </c>
      <c r="B2310" s="89" t="s">
        <v>1325</v>
      </c>
      <c r="C2310" s="88" t="s">
        <v>0</v>
      </c>
      <c r="D2310" s="89"/>
      <c r="E2310" s="91">
        <v>48638</v>
      </c>
      <c r="F2310" s="88">
        <v>7</v>
      </c>
      <c r="G2310" s="89" t="s">
        <v>4041</v>
      </c>
      <c r="H2310" s="89" t="s">
        <v>4042</v>
      </c>
      <c r="I2310" s="89" t="s">
        <v>66</v>
      </c>
      <c r="J2310" s="89" t="s">
        <v>99</v>
      </c>
      <c r="K2310" s="89" t="s">
        <v>6553</v>
      </c>
    </row>
    <row r="2311" spans="1:11" ht="71.25" x14ac:dyDescent="0.25">
      <c r="A2311" s="88">
        <v>108</v>
      </c>
      <c r="B2311" s="89" t="s">
        <v>4037</v>
      </c>
      <c r="C2311" s="88" t="s">
        <v>0</v>
      </c>
      <c r="D2311" s="89"/>
      <c r="E2311" s="91">
        <v>29982</v>
      </c>
      <c r="F2311" s="88">
        <v>7</v>
      </c>
      <c r="G2311" s="89" t="s">
        <v>4038</v>
      </c>
      <c r="H2311" s="89" t="s">
        <v>4039</v>
      </c>
      <c r="I2311" s="89" t="s">
        <v>66</v>
      </c>
      <c r="J2311" s="89" t="s">
        <v>4040</v>
      </c>
      <c r="K2311" s="89" t="str">
        <f>"00048871"</f>
        <v>00048871</v>
      </c>
    </row>
    <row r="2312" spans="1:11" ht="57" x14ac:dyDescent="0.25">
      <c r="A2312" s="88">
        <v>108</v>
      </c>
      <c r="B2312" s="89" t="s">
        <v>1325</v>
      </c>
      <c r="C2312" s="88" t="s">
        <v>0</v>
      </c>
      <c r="D2312" s="89"/>
      <c r="E2312" s="91">
        <v>109296</v>
      </c>
      <c r="F2312" s="88">
        <v>7</v>
      </c>
      <c r="G2312" s="89" t="s">
        <v>1326</v>
      </c>
      <c r="H2312" s="89" t="s">
        <v>1327</v>
      </c>
      <c r="I2312" s="89" t="s">
        <v>32</v>
      </c>
      <c r="J2312" s="89" t="s">
        <v>33</v>
      </c>
      <c r="K2312" s="89" t="s">
        <v>6552</v>
      </c>
    </row>
    <row r="2313" spans="1:11" ht="57" x14ac:dyDescent="0.25">
      <c r="A2313" s="88">
        <v>108</v>
      </c>
      <c r="B2313" s="89" t="s">
        <v>1325</v>
      </c>
      <c r="C2313" s="88" t="s">
        <v>0</v>
      </c>
      <c r="D2313" s="89"/>
      <c r="E2313" s="91">
        <v>121875</v>
      </c>
      <c r="F2313" s="88">
        <v>7</v>
      </c>
      <c r="G2313" s="89" t="s">
        <v>3075</v>
      </c>
      <c r="H2313" s="89" t="s">
        <v>4044</v>
      </c>
      <c r="I2313" s="89" t="s">
        <v>32</v>
      </c>
      <c r="J2313" s="89" t="s">
        <v>36</v>
      </c>
      <c r="K2313" s="89" t="s">
        <v>5971</v>
      </c>
    </row>
    <row r="2314" spans="1:11" ht="45" x14ac:dyDescent="0.25">
      <c r="A2314" s="88">
        <v>108</v>
      </c>
      <c r="B2314" s="89" t="s">
        <v>756</v>
      </c>
      <c r="C2314" s="88" t="s">
        <v>0</v>
      </c>
      <c r="D2314" s="89"/>
      <c r="E2314" s="91">
        <v>358064</v>
      </c>
      <c r="F2314" s="88">
        <v>7</v>
      </c>
      <c r="G2314" s="89" t="s">
        <v>4047</v>
      </c>
      <c r="H2314" s="89" t="s">
        <v>4048</v>
      </c>
      <c r="I2314" s="89" t="s">
        <v>32</v>
      </c>
      <c r="J2314" s="19" t="s">
        <v>6508</v>
      </c>
      <c r="K2314" s="89" t="s">
        <v>5970</v>
      </c>
    </row>
    <row r="2315" spans="1:11" ht="71.25" x14ac:dyDescent="0.25">
      <c r="A2315" s="88">
        <v>108</v>
      </c>
      <c r="B2315" s="89" t="s">
        <v>1333</v>
      </c>
      <c r="C2315" s="88" t="s">
        <v>0</v>
      </c>
      <c r="D2315" s="89"/>
      <c r="E2315" s="91">
        <v>46193</v>
      </c>
      <c r="F2315" s="88">
        <v>7</v>
      </c>
      <c r="G2315" s="89" t="s">
        <v>4043</v>
      </c>
      <c r="H2315" s="89" t="s">
        <v>2106</v>
      </c>
      <c r="I2315" s="89" t="s">
        <v>66</v>
      </c>
      <c r="J2315" s="19" t="s">
        <v>125</v>
      </c>
      <c r="K2315" s="89" t="s">
        <v>6478</v>
      </c>
    </row>
    <row r="2316" spans="1:11" ht="71.25" x14ac:dyDescent="0.25">
      <c r="A2316" s="88">
        <v>108</v>
      </c>
      <c r="B2316" s="89" t="s">
        <v>1333</v>
      </c>
      <c r="C2316" s="88" t="s">
        <v>0</v>
      </c>
      <c r="D2316" s="89"/>
      <c r="E2316" s="91">
        <v>33635</v>
      </c>
      <c r="F2316" s="88">
        <v>7</v>
      </c>
      <c r="G2316" s="89" t="s">
        <v>4032</v>
      </c>
      <c r="H2316" s="89" t="s">
        <v>2106</v>
      </c>
      <c r="I2316" s="89" t="s">
        <v>66</v>
      </c>
      <c r="J2316" s="19" t="s">
        <v>125</v>
      </c>
      <c r="K2316" s="89" t="s">
        <v>6479</v>
      </c>
    </row>
    <row r="2317" spans="1:11" ht="71.25" x14ac:dyDescent="0.25">
      <c r="A2317" s="88">
        <v>108</v>
      </c>
      <c r="B2317" s="89" t="s">
        <v>1333</v>
      </c>
      <c r="C2317" s="88" t="s">
        <v>0</v>
      </c>
      <c r="D2317" s="89"/>
      <c r="E2317" s="91">
        <v>33121</v>
      </c>
      <c r="F2317" s="88">
        <v>7</v>
      </c>
      <c r="G2317" s="89" t="s">
        <v>4032</v>
      </c>
      <c r="H2317" s="89" t="s">
        <v>2106</v>
      </c>
      <c r="I2317" s="89" t="s">
        <v>66</v>
      </c>
      <c r="J2317" s="19" t="s">
        <v>125</v>
      </c>
      <c r="K2317" s="89" t="str">
        <f>"00050206"</f>
        <v>00050206</v>
      </c>
    </row>
    <row r="2318" spans="1:11" ht="57" x14ac:dyDescent="0.25">
      <c r="A2318" s="88">
        <v>108</v>
      </c>
      <c r="B2318" s="89" t="s">
        <v>756</v>
      </c>
      <c r="C2318" s="88" t="s">
        <v>0</v>
      </c>
      <c r="D2318" s="89"/>
      <c r="E2318" s="91">
        <v>60250</v>
      </c>
      <c r="F2318" s="88">
        <v>7</v>
      </c>
      <c r="G2318" s="89" t="s">
        <v>4031</v>
      </c>
      <c r="H2318" s="89" t="s">
        <v>3063</v>
      </c>
      <c r="I2318" s="89" t="s">
        <v>3064</v>
      </c>
      <c r="J2318" s="19" t="s">
        <v>3065</v>
      </c>
      <c r="K2318" s="89" t="s">
        <v>6480</v>
      </c>
    </row>
    <row r="2319" spans="1:11" ht="42.75" x14ac:dyDescent="0.25">
      <c r="A2319" s="88">
        <v>108</v>
      </c>
      <c r="B2319" s="89" t="s">
        <v>4033</v>
      </c>
      <c r="C2319" s="88" t="s">
        <v>0</v>
      </c>
      <c r="D2319" s="89"/>
      <c r="E2319" s="91">
        <v>55289</v>
      </c>
      <c r="F2319" s="88">
        <v>7</v>
      </c>
      <c r="G2319" s="89" t="s">
        <v>4034</v>
      </c>
      <c r="H2319" s="89" t="s">
        <v>4035</v>
      </c>
      <c r="I2319" s="89" t="s">
        <v>66</v>
      </c>
      <c r="J2319" s="19" t="s">
        <v>99</v>
      </c>
      <c r="K2319" s="89" t="str">
        <f>"00050613"</f>
        <v>00050613</v>
      </c>
    </row>
    <row r="2320" spans="1:11" ht="42.75" x14ac:dyDescent="0.25">
      <c r="A2320" s="88">
        <v>108</v>
      </c>
      <c r="B2320" s="89" t="s">
        <v>756</v>
      </c>
      <c r="C2320" s="88" t="s">
        <v>0</v>
      </c>
      <c r="D2320" s="89"/>
      <c r="E2320" s="91">
        <v>484375</v>
      </c>
      <c r="F2320" s="88">
        <v>7</v>
      </c>
      <c r="G2320" s="89" t="s">
        <v>4045</v>
      </c>
      <c r="H2320" s="89" t="s">
        <v>4046</v>
      </c>
      <c r="I2320" s="89" t="s">
        <v>32</v>
      </c>
      <c r="J2320" s="19" t="s">
        <v>759</v>
      </c>
      <c r="K2320" s="89" t="s">
        <v>6481</v>
      </c>
    </row>
    <row r="2321" spans="1:11" ht="42.75" x14ac:dyDescent="0.25">
      <c r="A2321" s="88">
        <v>108</v>
      </c>
      <c r="B2321" s="89" t="s">
        <v>4049</v>
      </c>
      <c r="C2321" s="88" t="s">
        <v>0</v>
      </c>
      <c r="D2321" s="89"/>
      <c r="E2321" s="91">
        <v>35905</v>
      </c>
      <c r="F2321" s="88">
        <v>7</v>
      </c>
      <c r="G2321" s="89" t="s">
        <v>4050</v>
      </c>
      <c r="H2321" s="89" t="s">
        <v>4051</v>
      </c>
      <c r="I2321" s="89" t="s">
        <v>32</v>
      </c>
      <c r="J2321" s="19" t="s">
        <v>924</v>
      </c>
      <c r="K2321" s="89" t="str">
        <f>"00049497"</f>
        <v>00049497</v>
      </c>
    </row>
    <row r="2322" spans="1:11" ht="28.5" x14ac:dyDescent="0.25">
      <c r="A2322" s="88">
        <v>108</v>
      </c>
      <c r="B2322" s="89" t="s">
        <v>26</v>
      </c>
      <c r="C2322" s="88" t="s">
        <v>0</v>
      </c>
      <c r="D2322" s="94">
        <v>324000</v>
      </c>
      <c r="E2322" s="28"/>
      <c r="F2322" s="88">
        <v>7</v>
      </c>
      <c r="G2322" s="89" t="s">
        <v>29</v>
      </c>
      <c r="H2322" s="89"/>
      <c r="I2322" s="89" t="s">
        <v>14</v>
      </c>
      <c r="J2322" s="19"/>
      <c r="K2322" s="89" t="str">
        <f>"　"</f>
        <v>　</v>
      </c>
    </row>
    <row r="2323" spans="1:11" ht="99.75" x14ac:dyDescent="0.25">
      <c r="A2323" s="88">
        <v>108</v>
      </c>
      <c r="B2323" s="89" t="s">
        <v>4609</v>
      </c>
      <c r="C2323" s="88" t="s">
        <v>0</v>
      </c>
      <c r="D2323" s="89"/>
      <c r="E2323" s="91">
        <v>140000</v>
      </c>
      <c r="F2323" s="88">
        <v>7</v>
      </c>
      <c r="G2323" s="89" t="s">
        <v>4610</v>
      </c>
      <c r="H2323" s="89" t="s">
        <v>4611</v>
      </c>
      <c r="I2323" s="89" t="s">
        <v>32</v>
      </c>
      <c r="J2323" s="19" t="s">
        <v>4612</v>
      </c>
      <c r="K2323" s="89" t="str">
        <f>"00051528"</f>
        <v>00051528</v>
      </c>
    </row>
    <row r="2324" spans="1:11" ht="42.75" x14ac:dyDescent="0.25">
      <c r="A2324" s="88">
        <v>108</v>
      </c>
      <c r="B2324" s="89" t="s">
        <v>6509</v>
      </c>
      <c r="C2324" s="88" t="s">
        <v>5373</v>
      </c>
      <c r="D2324" s="89"/>
      <c r="E2324" s="28">
        <v>-72</v>
      </c>
      <c r="F2324" s="88"/>
      <c r="G2324" s="89" t="s">
        <v>6516</v>
      </c>
      <c r="H2324" s="89" t="s">
        <v>6518</v>
      </c>
      <c r="I2324" s="89" t="s">
        <v>6500</v>
      </c>
      <c r="J2324" s="19" t="s">
        <v>6512</v>
      </c>
      <c r="K2324" s="89" t="s">
        <v>6514</v>
      </c>
    </row>
    <row r="2325" spans="1:11" ht="28.5" x14ac:dyDescent="0.25">
      <c r="A2325" s="88">
        <v>108</v>
      </c>
      <c r="B2325" s="89" t="s">
        <v>6510</v>
      </c>
      <c r="C2325" s="88" t="s">
        <v>5373</v>
      </c>
      <c r="D2325" s="89"/>
      <c r="E2325" s="28">
        <v>800</v>
      </c>
      <c r="F2325" s="88"/>
      <c r="G2325" s="89" t="s">
        <v>6517</v>
      </c>
      <c r="H2325" s="89" t="s">
        <v>6519</v>
      </c>
      <c r="I2325" s="89" t="s">
        <v>6511</v>
      </c>
      <c r="J2325" s="19" t="s">
        <v>6513</v>
      </c>
      <c r="K2325" s="89" t="s">
        <v>6515</v>
      </c>
    </row>
    <row r="2326" spans="1:11" x14ac:dyDescent="0.25">
      <c r="A2326" s="88">
        <v>108</v>
      </c>
      <c r="B2326" s="89" t="s">
        <v>883</v>
      </c>
      <c r="C2326" s="88" t="s">
        <v>0</v>
      </c>
      <c r="D2326" s="94">
        <v>49237</v>
      </c>
      <c r="E2326" s="16"/>
      <c r="F2326" s="88">
        <v>7</v>
      </c>
      <c r="G2326" s="89" t="s">
        <v>889</v>
      </c>
      <c r="H2326" s="89"/>
      <c r="I2326" s="89" t="s">
        <v>885</v>
      </c>
      <c r="J2326" s="19"/>
      <c r="K2326" s="89" t="str">
        <f>"　"</f>
        <v>　</v>
      </c>
    </row>
    <row r="2327" spans="1:11" ht="85.5" x14ac:dyDescent="0.25">
      <c r="A2327" s="88">
        <v>108</v>
      </c>
      <c r="B2327" s="89" t="s">
        <v>883</v>
      </c>
      <c r="C2327" s="88" t="s">
        <v>0</v>
      </c>
      <c r="D2327" s="89"/>
      <c r="E2327" s="16">
        <v>49237</v>
      </c>
      <c r="F2327" s="88">
        <v>7</v>
      </c>
      <c r="G2327" s="89" t="s">
        <v>5461</v>
      </c>
      <c r="H2327" s="89" t="s">
        <v>3413</v>
      </c>
      <c r="I2327" s="89" t="s">
        <v>32</v>
      </c>
      <c r="J2327" s="89" t="s">
        <v>118</v>
      </c>
      <c r="K2327" s="89" t="str">
        <f>"00049923"</f>
        <v>00049923</v>
      </c>
    </row>
    <row r="2328" spans="1:11" ht="28.5" x14ac:dyDescent="0.25">
      <c r="A2328" s="88">
        <v>108</v>
      </c>
      <c r="B2328" s="89" t="s">
        <v>12</v>
      </c>
      <c r="C2328" s="88" t="s">
        <v>0</v>
      </c>
      <c r="D2328" s="91">
        <v>30090000</v>
      </c>
      <c r="E2328" s="16"/>
      <c r="F2328" s="88">
        <v>7</v>
      </c>
      <c r="G2328" s="89" t="s">
        <v>52</v>
      </c>
      <c r="H2328" s="89"/>
      <c r="I2328" s="89" t="s">
        <v>921</v>
      </c>
      <c r="J2328" s="89"/>
      <c r="K2328" s="89" t="str">
        <f>"　"</f>
        <v>　</v>
      </c>
    </row>
    <row r="2329" spans="1:11" ht="71.25" x14ac:dyDescent="0.25">
      <c r="A2329" s="88">
        <v>108</v>
      </c>
      <c r="B2329" s="89" t="s">
        <v>4063</v>
      </c>
      <c r="C2329" s="88" t="s">
        <v>0</v>
      </c>
      <c r="D2329" s="89"/>
      <c r="E2329" s="16">
        <v>53175</v>
      </c>
      <c r="F2329" s="88">
        <v>7</v>
      </c>
      <c r="G2329" s="89" t="s">
        <v>4064</v>
      </c>
      <c r="H2329" s="89" t="s">
        <v>4065</v>
      </c>
      <c r="I2329" s="89" t="s">
        <v>113</v>
      </c>
      <c r="J2329" s="89" t="s">
        <v>4066</v>
      </c>
      <c r="K2329" s="89" t="str">
        <f>"00050153"</f>
        <v>00050153</v>
      </c>
    </row>
    <row r="2330" spans="1:11" ht="57" x14ac:dyDescent="0.25">
      <c r="A2330" s="88">
        <v>108</v>
      </c>
      <c r="B2330" s="89" t="s">
        <v>797</v>
      </c>
      <c r="C2330" s="88" t="s">
        <v>0</v>
      </c>
      <c r="D2330" s="89"/>
      <c r="E2330" s="16">
        <v>158213</v>
      </c>
      <c r="F2330" s="88">
        <v>7</v>
      </c>
      <c r="G2330" s="89" t="s">
        <v>4067</v>
      </c>
      <c r="H2330" s="89" t="s">
        <v>4068</v>
      </c>
      <c r="I2330" s="89" t="s">
        <v>32</v>
      </c>
      <c r="J2330" s="89" t="s">
        <v>2709</v>
      </c>
      <c r="K2330" s="89" t="str">
        <f>"00049474"</f>
        <v>00049474</v>
      </c>
    </row>
    <row r="2331" spans="1:11" ht="42.75" x14ac:dyDescent="0.25">
      <c r="A2331" s="88">
        <v>108</v>
      </c>
      <c r="B2331" s="89" t="s">
        <v>4069</v>
      </c>
      <c r="C2331" s="88" t="s">
        <v>0</v>
      </c>
      <c r="D2331" s="89"/>
      <c r="E2331" s="16">
        <v>158412</v>
      </c>
      <c r="F2331" s="88">
        <v>7</v>
      </c>
      <c r="G2331" s="89" t="s">
        <v>4070</v>
      </c>
      <c r="H2331" s="89" t="s">
        <v>4071</v>
      </c>
      <c r="I2331" s="89" t="s">
        <v>17</v>
      </c>
      <c r="J2331" s="89" t="s">
        <v>18</v>
      </c>
      <c r="K2331" s="89" t="str">
        <f>"00050405"</f>
        <v>00050405</v>
      </c>
    </row>
    <row r="2332" spans="1:11" ht="85.5" x14ac:dyDescent="0.25">
      <c r="A2332" s="88">
        <v>108</v>
      </c>
      <c r="B2332" s="89" t="s">
        <v>1335</v>
      </c>
      <c r="C2332" s="88" t="s">
        <v>0</v>
      </c>
      <c r="D2332" s="89"/>
      <c r="E2332" s="16">
        <v>48872</v>
      </c>
      <c r="F2332" s="88">
        <v>7</v>
      </c>
      <c r="G2332" s="89" t="s">
        <v>1336</v>
      </c>
      <c r="H2332" s="89" t="s">
        <v>1337</v>
      </c>
      <c r="I2332" s="89" t="s">
        <v>66</v>
      </c>
      <c r="J2332" s="89" t="s">
        <v>125</v>
      </c>
      <c r="K2332" s="89" t="str">
        <f>"00046748"</f>
        <v>00046748</v>
      </c>
    </row>
    <row r="2333" spans="1:11" ht="42.75" x14ac:dyDescent="0.25">
      <c r="A2333" s="88">
        <v>108</v>
      </c>
      <c r="B2333" s="89" t="s">
        <v>4057</v>
      </c>
      <c r="C2333" s="88" t="s">
        <v>0</v>
      </c>
      <c r="D2333" s="89"/>
      <c r="E2333" s="16">
        <v>58947</v>
      </c>
      <c r="F2333" s="88">
        <v>7</v>
      </c>
      <c r="G2333" s="89" t="s">
        <v>4058</v>
      </c>
      <c r="H2333" s="89" t="s">
        <v>4059</v>
      </c>
      <c r="I2333" s="89" t="s">
        <v>66</v>
      </c>
      <c r="J2333" s="89" t="s">
        <v>125</v>
      </c>
      <c r="K2333" s="89" t="str">
        <f>"00052700"</f>
        <v>00052700</v>
      </c>
    </row>
    <row r="2334" spans="1:11" ht="57" x14ac:dyDescent="0.25">
      <c r="A2334" s="88">
        <v>108</v>
      </c>
      <c r="B2334" s="89" t="s">
        <v>1335</v>
      </c>
      <c r="C2334" s="88" t="s">
        <v>0</v>
      </c>
      <c r="D2334" s="89"/>
      <c r="E2334" s="16">
        <v>37801</v>
      </c>
      <c r="F2334" s="88">
        <v>7</v>
      </c>
      <c r="G2334" s="89" t="s">
        <v>4052</v>
      </c>
      <c r="H2334" s="89" t="s">
        <v>4053</v>
      </c>
      <c r="I2334" s="89" t="s">
        <v>237</v>
      </c>
      <c r="J2334" s="89" t="s">
        <v>4054</v>
      </c>
      <c r="K2334" s="89" t="str">
        <f>"00052203"</f>
        <v>00052203</v>
      </c>
    </row>
    <row r="2335" spans="1:11" ht="128.25" x14ac:dyDescent="0.25">
      <c r="A2335" s="88">
        <v>108</v>
      </c>
      <c r="B2335" s="89" t="s">
        <v>4060</v>
      </c>
      <c r="C2335" s="88" t="s">
        <v>0</v>
      </c>
      <c r="D2335" s="89"/>
      <c r="E2335" s="16">
        <v>100816</v>
      </c>
      <c r="F2335" s="88">
        <v>7</v>
      </c>
      <c r="G2335" s="89" t="s">
        <v>4061</v>
      </c>
      <c r="H2335" s="89" t="s">
        <v>4062</v>
      </c>
      <c r="I2335" s="89" t="s">
        <v>32</v>
      </c>
      <c r="J2335" s="89" t="s">
        <v>423</v>
      </c>
      <c r="K2335" s="89" t="str">
        <f>"00052095"</f>
        <v>00052095</v>
      </c>
    </row>
    <row r="2336" spans="1:11" ht="85.5" x14ac:dyDescent="0.25">
      <c r="A2336" s="88">
        <v>108</v>
      </c>
      <c r="B2336" s="89" t="s">
        <v>4055</v>
      </c>
      <c r="C2336" s="88" t="s">
        <v>0</v>
      </c>
      <c r="D2336" s="89"/>
      <c r="E2336" s="16">
        <v>23894</v>
      </c>
      <c r="F2336" s="88">
        <v>7</v>
      </c>
      <c r="G2336" s="89" t="s">
        <v>5462</v>
      </c>
      <c r="H2336" s="89" t="s">
        <v>4056</v>
      </c>
      <c r="I2336" s="89" t="s">
        <v>66</v>
      </c>
      <c r="J2336" s="89" t="s">
        <v>717</v>
      </c>
      <c r="K2336" s="89" t="str">
        <f>"00053016"</f>
        <v>00053016</v>
      </c>
    </row>
    <row r="2337" spans="1:11" ht="57" x14ac:dyDescent="0.25">
      <c r="A2337" s="88">
        <v>108</v>
      </c>
      <c r="B2337" s="89" t="s">
        <v>4072</v>
      </c>
      <c r="C2337" s="88" t="s">
        <v>0</v>
      </c>
      <c r="D2337" s="89"/>
      <c r="E2337" s="16">
        <v>31375</v>
      </c>
      <c r="F2337" s="88">
        <v>7</v>
      </c>
      <c r="G2337" s="89" t="s">
        <v>4073</v>
      </c>
      <c r="H2337" s="89" t="s">
        <v>4053</v>
      </c>
      <c r="I2337" s="89" t="s">
        <v>237</v>
      </c>
      <c r="J2337" s="89" t="s">
        <v>4054</v>
      </c>
      <c r="K2337" s="89" t="s">
        <v>6551</v>
      </c>
    </row>
    <row r="2338" spans="1:11" ht="99.75" x14ac:dyDescent="0.25">
      <c r="A2338" s="88">
        <v>108</v>
      </c>
      <c r="B2338" s="89" t="s">
        <v>4662</v>
      </c>
      <c r="C2338" s="88" t="s">
        <v>0</v>
      </c>
      <c r="D2338" s="89"/>
      <c r="E2338" s="16">
        <v>59537</v>
      </c>
      <c r="F2338" s="88">
        <v>7</v>
      </c>
      <c r="G2338" s="89" t="s">
        <v>4663</v>
      </c>
      <c r="H2338" s="89" t="s">
        <v>4664</v>
      </c>
      <c r="I2338" s="89" t="s">
        <v>66</v>
      </c>
      <c r="J2338" s="89" t="s">
        <v>125</v>
      </c>
      <c r="K2338" s="89" t="str">
        <f>"00052529"</f>
        <v>00052529</v>
      </c>
    </row>
    <row r="2339" spans="1:11" ht="57" x14ac:dyDescent="0.25">
      <c r="A2339" s="88">
        <v>108</v>
      </c>
      <c r="B2339" s="89" t="s">
        <v>4072</v>
      </c>
      <c r="C2339" s="88" t="s">
        <v>0</v>
      </c>
      <c r="D2339" s="89"/>
      <c r="E2339" s="90">
        <v>-31375</v>
      </c>
      <c r="F2339" s="88">
        <v>7</v>
      </c>
      <c r="G2339" s="89" t="s">
        <v>4073</v>
      </c>
      <c r="H2339" s="89" t="s">
        <v>4053</v>
      </c>
      <c r="I2339" s="89" t="s">
        <v>237</v>
      </c>
      <c r="J2339" s="89" t="s">
        <v>4054</v>
      </c>
      <c r="K2339" s="89" t="s">
        <v>6550</v>
      </c>
    </row>
    <row r="2340" spans="1:11" ht="57" x14ac:dyDescent="0.25">
      <c r="A2340" s="88">
        <v>108</v>
      </c>
      <c r="B2340" s="89" t="s">
        <v>5741</v>
      </c>
      <c r="C2340" s="88" t="s">
        <v>5839</v>
      </c>
      <c r="D2340" s="89"/>
      <c r="E2340" s="16">
        <v>51725</v>
      </c>
      <c r="F2340" s="88">
        <v>4</v>
      </c>
      <c r="G2340" s="89" t="s">
        <v>6010</v>
      </c>
      <c r="H2340" s="89" t="s">
        <v>5840</v>
      </c>
      <c r="I2340" s="89" t="s">
        <v>5841</v>
      </c>
      <c r="J2340" s="89" t="s">
        <v>5842</v>
      </c>
      <c r="K2340" s="43" t="s">
        <v>5843</v>
      </c>
    </row>
    <row r="2341" spans="1:11" x14ac:dyDescent="0.25">
      <c r="A2341" s="88">
        <v>108</v>
      </c>
      <c r="B2341" s="89" t="s">
        <v>883</v>
      </c>
      <c r="C2341" s="88" t="s">
        <v>0</v>
      </c>
      <c r="D2341" s="94">
        <v>98523</v>
      </c>
      <c r="E2341" s="28"/>
      <c r="F2341" s="88">
        <v>7</v>
      </c>
      <c r="G2341" s="89" t="s">
        <v>884</v>
      </c>
      <c r="H2341" s="89"/>
      <c r="I2341" s="89" t="s">
        <v>885</v>
      </c>
      <c r="J2341" s="89"/>
      <c r="K2341" s="89" t="str">
        <f>"　"</f>
        <v>　</v>
      </c>
    </row>
    <row r="2342" spans="1:11" ht="57" x14ac:dyDescent="0.25">
      <c r="A2342" s="88">
        <v>108</v>
      </c>
      <c r="B2342" s="89" t="s">
        <v>883</v>
      </c>
      <c r="C2342" s="88" t="s">
        <v>0</v>
      </c>
      <c r="D2342" s="89"/>
      <c r="E2342" s="91">
        <v>128402</v>
      </c>
      <c r="F2342" s="88">
        <v>7</v>
      </c>
      <c r="G2342" s="89" t="s">
        <v>5474</v>
      </c>
      <c r="H2342" s="89" t="s">
        <v>886</v>
      </c>
      <c r="I2342" s="89" t="s">
        <v>887</v>
      </c>
      <c r="J2342" s="89" t="s">
        <v>888</v>
      </c>
      <c r="K2342" s="89" t="str">
        <f>"00042094"</f>
        <v>00042094</v>
      </c>
    </row>
    <row r="2343" spans="1:11" x14ac:dyDescent="0.25">
      <c r="A2343" s="88">
        <v>108</v>
      </c>
      <c r="B2343" s="89" t="s">
        <v>883</v>
      </c>
      <c r="C2343" s="88" t="s">
        <v>0</v>
      </c>
      <c r="D2343" s="94">
        <v>10429</v>
      </c>
      <c r="E2343" s="28"/>
      <c r="F2343" s="88">
        <v>7</v>
      </c>
      <c r="G2343" s="89" t="s">
        <v>5844</v>
      </c>
      <c r="H2343" s="89"/>
      <c r="I2343" s="89" t="s">
        <v>885</v>
      </c>
      <c r="J2343" s="89"/>
      <c r="K2343" s="89" t="str">
        <f>"　"</f>
        <v>　</v>
      </c>
    </row>
    <row r="2344" spans="1:11" ht="57" x14ac:dyDescent="0.25">
      <c r="A2344" s="88">
        <v>108</v>
      </c>
      <c r="B2344" s="89" t="s">
        <v>883</v>
      </c>
      <c r="C2344" s="88" t="s">
        <v>0</v>
      </c>
      <c r="D2344" s="89"/>
      <c r="E2344" s="91">
        <v>10429</v>
      </c>
      <c r="F2344" s="88">
        <v>7</v>
      </c>
      <c r="G2344" s="89" t="s">
        <v>3298</v>
      </c>
      <c r="H2344" s="89" t="s">
        <v>3299</v>
      </c>
      <c r="I2344" s="89" t="s">
        <v>66</v>
      </c>
      <c r="J2344" s="89" t="s">
        <v>67</v>
      </c>
      <c r="K2344" s="89" t="str">
        <f>"00052871"</f>
        <v>00052871</v>
      </c>
    </row>
    <row r="2345" spans="1:11" ht="28.5" x14ac:dyDescent="0.25">
      <c r="A2345" s="88">
        <v>108</v>
      </c>
      <c r="B2345" s="89" t="s">
        <v>12</v>
      </c>
      <c r="C2345" s="88" t="s">
        <v>0</v>
      </c>
      <c r="D2345" s="91">
        <v>30090000</v>
      </c>
      <c r="E2345" s="28"/>
      <c r="F2345" s="88">
        <v>7</v>
      </c>
      <c r="G2345" s="89" t="s">
        <v>52</v>
      </c>
      <c r="H2345" s="89"/>
      <c r="I2345" s="89" t="s">
        <v>921</v>
      </c>
      <c r="J2345" s="89"/>
      <c r="K2345" s="89" t="str">
        <f>"　"</f>
        <v>　</v>
      </c>
    </row>
    <row r="2346" spans="1:11" ht="42.75" x14ac:dyDescent="0.25">
      <c r="A2346" s="88">
        <v>108</v>
      </c>
      <c r="B2346" s="89" t="s">
        <v>1338</v>
      </c>
      <c r="C2346" s="88" t="s">
        <v>0</v>
      </c>
      <c r="D2346" s="89"/>
      <c r="E2346" s="91">
        <v>73264</v>
      </c>
      <c r="F2346" s="88">
        <v>7</v>
      </c>
      <c r="G2346" s="89" t="s">
        <v>5475</v>
      </c>
      <c r="H2346" s="89" t="s">
        <v>1339</v>
      </c>
      <c r="I2346" s="89" t="s">
        <v>66</v>
      </c>
      <c r="J2346" s="89" t="s">
        <v>125</v>
      </c>
      <c r="K2346" s="89" t="str">
        <f>"00047606"</f>
        <v>00047606</v>
      </c>
    </row>
    <row r="2347" spans="1:11" ht="71.25" x14ac:dyDescent="0.25">
      <c r="A2347" s="88">
        <v>108</v>
      </c>
      <c r="B2347" s="89" t="s">
        <v>4076</v>
      </c>
      <c r="C2347" s="88" t="s">
        <v>0</v>
      </c>
      <c r="D2347" s="89"/>
      <c r="E2347" s="91">
        <v>123134</v>
      </c>
      <c r="F2347" s="88">
        <v>7</v>
      </c>
      <c r="G2347" s="89" t="s">
        <v>5476</v>
      </c>
      <c r="H2347" s="89" t="s">
        <v>4077</v>
      </c>
      <c r="I2347" s="89" t="s">
        <v>237</v>
      </c>
      <c r="J2347" s="89" t="s">
        <v>4078</v>
      </c>
      <c r="K2347" s="89" t="str">
        <f>"00048281"</f>
        <v>00048281</v>
      </c>
    </row>
    <row r="2348" spans="1:11" ht="57" x14ac:dyDescent="0.25">
      <c r="A2348" s="88">
        <v>108</v>
      </c>
      <c r="B2348" s="89" t="s">
        <v>4074</v>
      </c>
      <c r="C2348" s="88" t="s">
        <v>0</v>
      </c>
      <c r="D2348" s="89"/>
      <c r="E2348" s="91">
        <v>143603</v>
      </c>
      <c r="F2348" s="88">
        <v>7</v>
      </c>
      <c r="G2348" s="89" t="s">
        <v>5477</v>
      </c>
      <c r="H2348" s="89" t="s">
        <v>4075</v>
      </c>
      <c r="I2348" s="89" t="s">
        <v>32</v>
      </c>
      <c r="J2348" s="89" t="s">
        <v>36</v>
      </c>
      <c r="K2348" s="89" t="str">
        <f>"00049501"</f>
        <v>00049501</v>
      </c>
    </row>
    <row r="2349" spans="1:11" ht="85.5" x14ac:dyDescent="0.25">
      <c r="A2349" s="88">
        <v>108</v>
      </c>
      <c r="B2349" s="89" t="s">
        <v>4625</v>
      </c>
      <c r="C2349" s="88" t="s">
        <v>0</v>
      </c>
      <c r="D2349" s="89"/>
      <c r="E2349" s="91">
        <v>43678</v>
      </c>
      <c r="F2349" s="88">
        <v>7</v>
      </c>
      <c r="G2349" s="89" t="s">
        <v>5478</v>
      </c>
      <c r="H2349" s="89" t="s">
        <v>762</v>
      </c>
      <c r="I2349" s="89" t="s">
        <v>32</v>
      </c>
      <c r="J2349" s="89" t="s">
        <v>3120</v>
      </c>
      <c r="K2349" s="89" t="str">
        <f>"00048223"</f>
        <v>00048223</v>
      </c>
    </row>
    <row r="2350" spans="1:11" x14ac:dyDescent="0.25">
      <c r="A2350" s="88">
        <v>108</v>
      </c>
      <c r="B2350" s="89" t="s">
        <v>883</v>
      </c>
      <c r="C2350" s="88" t="s">
        <v>0</v>
      </c>
      <c r="D2350" s="94">
        <v>59670</v>
      </c>
      <c r="E2350" s="96"/>
      <c r="F2350" s="88">
        <v>7</v>
      </c>
      <c r="G2350" s="89" t="s">
        <v>889</v>
      </c>
      <c r="H2350" s="89"/>
      <c r="I2350" s="89" t="s">
        <v>885</v>
      </c>
      <c r="J2350" s="89"/>
      <c r="K2350" s="89" t="str">
        <f>"　"</f>
        <v>　</v>
      </c>
    </row>
    <row r="2351" spans="1:11" ht="57" x14ac:dyDescent="0.25">
      <c r="A2351" s="88">
        <v>108</v>
      </c>
      <c r="B2351" s="89" t="s">
        <v>883</v>
      </c>
      <c r="C2351" s="88" t="s">
        <v>0</v>
      </c>
      <c r="D2351" s="89"/>
      <c r="E2351" s="109">
        <v>59670</v>
      </c>
      <c r="F2351" s="88">
        <v>7</v>
      </c>
      <c r="G2351" s="89" t="s">
        <v>3415</v>
      </c>
      <c r="H2351" s="89" t="s">
        <v>2332</v>
      </c>
      <c r="I2351" s="89" t="s">
        <v>32</v>
      </c>
      <c r="J2351" s="89" t="s">
        <v>118</v>
      </c>
      <c r="K2351" s="89" t="str">
        <f>"00051596"</f>
        <v>00051596</v>
      </c>
    </row>
    <row r="2352" spans="1:11" x14ac:dyDescent="0.25">
      <c r="A2352" s="88">
        <v>108</v>
      </c>
      <c r="B2352" s="89" t="s">
        <v>883</v>
      </c>
      <c r="C2352" s="88" t="s">
        <v>0</v>
      </c>
      <c r="D2352" s="94">
        <v>37713</v>
      </c>
      <c r="E2352" s="56"/>
      <c r="F2352" s="88">
        <v>7</v>
      </c>
      <c r="G2352" s="89" t="s">
        <v>889</v>
      </c>
      <c r="H2352" s="89"/>
      <c r="I2352" s="89" t="s">
        <v>885</v>
      </c>
      <c r="J2352" s="89"/>
      <c r="K2352" s="89" t="str">
        <f>"　"</f>
        <v>　</v>
      </c>
    </row>
    <row r="2353" spans="1:11" ht="57" x14ac:dyDescent="0.25">
      <c r="A2353" s="88">
        <v>108</v>
      </c>
      <c r="B2353" s="89" t="s">
        <v>883</v>
      </c>
      <c r="C2353" s="88" t="s">
        <v>0</v>
      </c>
      <c r="D2353" s="89"/>
      <c r="E2353" s="109">
        <v>37713</v>
      </c>
      <c r="F2353" s="88">
        <v>7</v>
      </c>
      <c r="G2353" s="89" t="s">
        <v>3414</v>
      </c>
      <c r="H2353" s="89" t="s">
        <v>3021</v>
      </c>
      <c r="I2353" s="89" t="s">
        <v>763</v>
      </c>
      <c r="J2353" s="89" t="s">
        <v>1817</v>
      </c>
      <c r="K2353" s="89" t="str">
        <f>"00052697"</f>
        <v>00052697</v>
      </c>
    </row>
    <row r="2354" spans="1:11" x14ac:dyDescent="0.25">
      <c r="A2354" s="88">
        <v>108</v>
      </c>
      <c r="B2354" s="89" t="s">
        <v>883</v>
      </c>
      <c r="C2354" s="88" t="s">
        <v>0</v>
      </c>
      <c r="D2354" s="94">
        <v>43477</v>
      </c>
      <c r="E2354" s="56"/>
      <c r="F2354" s="88">
        <v>7</v>
      </c>
      <c r="G2354" s="89" t="s">
        <v>889</v>
      </c>
      <c r="H2354" s="89"/>
      <c r="I2354" s="89" t="s">
        <v>885</v>
      </c>
      <c r="J2354" s="89"/>
      <c r="K2354" s="89" t="str">
        <f>"　"</f>
        <v>　</v>
      </c>
    </row>
    <row r="2355" spans="1:11" ht="42.75" x14ac:dyDescent="0.25">
      <c r="A2355" s="88">
        <v>108</v>
      </c>
      <c r="B2355" s="89" t="s">
        <v>883</v>
      </c>
      <c r="C2355" s="88" t="s">
        <v>0</v>
      </c>
      <c r="D2355" s="93"/>
      <c r="E2355" s="109">
        <v>43477</v>
      </c>
      <c r="F2355" s="88">
        <v>7</v>
      </c>
      <c r="G2355" s="89" t="s">
        <v>3416</v>
      </c>
      <c r="H2355" s="89" t="s">
        <v>3296</v>
      </c>
      <c r="I2355" s="89" t="s">
        <v>32</v>
      </c>
      <c r="J2355" s="89" t="s">
        <v>3417</v>
      </c>
      <c r="K2355" s="89" t="str">
        <f>"00052015"</f>
        <v>00052015</v>
      </c>
    </row>
    <row r="2356" spans="1:11" ht="28.5" x14ac:dyDescent="0.25">
      <c r="A2356" s="88">
        <v>108</v>
      </c>
      <c r="B2356" s="89" t="s">
        <v>12</v>
      </c>
      <c r="C2356" s="88" t="s">
        <v>0</v>
      </c>
      <c r="D2356" s="91">
        <v>30090000</v>
      </c>
      <c r="E2356" s="96"/>
      <c r="F2356" s="88">
        <v>7</v>
      </c>
      <c r="G2356" s="89" t="s">
        <v>5853</v>
      </c>
      <c r="H2356" s="89"/>
      <c r="I2356" s="89" t="s">
        <v>921</v>
      </c>
      <c r="J2356" s="89"/>
      <c r="K2356" s="89" t="str">
        <f>"　"</f>
        <v>　</v>
      </c>
    </row>
    <row r="2357" spans="1:11" ht="71.25" x14ac:dyDescent="0.25">
      <c r="A2357" s="88">
        <v>108</v>
      </c>
      <c r="B2357" s="89" t="s">
        <v>1340</v>
      </c>
      <c r="C2357" s="88" t="s">
        <v>0</v>
      </c>
      <c r="D2357" s="89"/>
      <c r="E2357" s="46">
        <v>229317</v>
      </c>
      <c r="F2357" s="88">
        <v>7</v>
      </c>
      <c r="G2357" s="89" t="s">
        <v>1357</v>
      </c>
      <c r="H2357" s="89" t="s">
        <v>1358</v>
      </c>
      <c r="I2357" s="89" t="s">
        <v>66</v>
      </c>
      <c r="J2357" s="89" t="s">
        <v>1359</v>
      </c>
      <c r="K2357" s="89" t="s">
        <v>6549</v>
      </c>
    </row>
    <row r="2358" spans="1:11" ht="42.75" x14ac:dyDescent="0.25">
      <c r="A2358" s="88">
        <v>108</v>
      </c>
      <c r="B2358" s="89" t="s">
        <v>1340</v>
      </c>
      <c r="C2358" s="88" t="s">
        <v>0</v>
      </c>
      <c r="D2358" s="89"/>
      <c r="E2358" s="46">
        <v>92282</v>
      </c>
      <c r="F2358" s="88">
        <v>7</v>
      </c>
      <c r="G2358" s="89" t="s">
        <v>1343</v>
      </c>
      <c r="H2358" s="89" t="s">
        <v>1344</v>
      </c>
      <c r="I2358" s="89" t="s">
        <v>66</v>
      </c>
      <c r="J2358" s="89" t="s">
        <v>125</v>
      </c>
      <c r="K2358" s="89" t="s">
        <v>6548</v>
      </c>
    </row>
    <row r="2359" spans="1:11" ht="42.75" x14ac:dyDescent="0.25">
      <c r="A2359" s="88">
        <v>108</v>
      </c>
      <c r="B2359" s="89" t="s">
        <v>1340</v>
      </c>
      <c r="C2359" s="88" t="s">
        <v>0</v>
      </c>
      <c r="D2359" s="89"/>
      <c r="E2359" s="46">
        <v>55916</v>
      </c>
      <c r="F2359" s="88">
        <v>7</v>
      </c>
      <c r="G2359" s="89" t="s">
        <v>1341</v>
      </c>
      <c r="H2359" s="89" t="s">
        <v>1342</v>
      </c>
      <c r="I2359" s="89" t="s">
        <v>66</v>
      </c>
      <c r="J2359" s="89" t="s">
        <v>125</v>
      </c>
      <c r="K2359" s="89" t="s">
        <v>5975</v>
      </c>
    </row>
    <row r="2360" spans="1:11" ht="57" x14ac:dyDescent="0.25">
      <c r="A2360" s="88">
        <v>108</v>
      </c>
      <c r="B2360" s="89" t="s">
        <v>1340</v>
      </c>
      <c r="C2360" s="88" t="s">
        <v>0</v>
      </c>
      <c r="D2360" s="89"/>
      <c r="E2360" s="46">
        <v>101392</v>
      </c>
      <c r="F2360" s="88">
        <v>7</v>
      </c>
      <c r="G2360" s="89" t="s">
        <v>1345</v>
      </c>
      <c r="H2360" s="89" t="s">
        <v>1346</v>
      </c>
      <c r="I2360" s="89" t="s">
        <v>66</v>
      </c>
      <c r="J2360" s="89" t="s">
        <v>125</v>
      </c>
      <c r="K2360" s="89" t="s">
        <v>6547</v>
      </c>
    </row>
    <row r="2361" spans="1:11" ht="42.75" x14ac:dyDescent="0.25">
      <c r="A2361" s="88">
        <v>108</v>
      </c>
      <c r="B2361" s="89" t="s">
        <v>1340</v>
      </c>
      <c r="C2361" s="88" t="s">
        <v>0</v>
      </c>
      <c r="D2361" s="89"/>
      <c r="E2361" s="46">
        <v>175239</v>
      </c>
      <c r="F2361" s="88">
        <v>7</v>
      </c>
      <c r="G2361" s="89" t="s">
        <v>1343</v>
      </c>
      <c r="H2361" s="89" t="s">
        <v>1355</v>
      </c>
      <c r="I2361" s="89" t="s">
        <v>66</v>
      </c>
      <c r="J2361" s="89" t="s">
        <v>125</v>
      </c>
      <c r="K2361" s="89" t="s">
        <v>5972</v>
      </c>
    </row>
    <row r="2362" spans="1:11" ht="42.75" x14ac:dyDescent="0.25">
      <c r="A2362" s="88">
        <v>108</v>
      </c>
      <c r="B2362" s="89" t="s">
        <v>1340</v>
      </c>
      <c r="C2362" s="88" t="s">
        <v>0</v>
      </c>
      <c r="D2362" s="89"/>
      <c r="E2362" s="46">
        <v>79373</v>
      </c>
      <c r="F2362" s="88">
        <v>7</v>
      </c>
      <c r="G2362" s="89" t="s">
        <v>1343</v>
      </c>
      <c r="H2362" s="89" t="s">
        <v>1348</v>
      </c>
      <c r="I2362" s="89" t="s">
        <v>66</v>
      </c>
      <c r="J2362" s="89" t="s">
        <v>125</v>
      </c>
      <c r="K2362" s="89" t="s">
        <v>5973</v>
      </c>
    </row>
    <row r="2363" spans="1:11" ht="42.75" x14ac:dyDescent="0.25">
      <c r="A2363" s="88">
        <v>108</v>
      </c>
      <c r="B2363" s="89" t="s">
        <v>1340</v>
      </c>
      <c r="C2363" s="88" t="s">
        <v>0</v>
      </c>
      <c r="D2363" s="89"/>
      <c r="E2363" s="46">
        <v>122175</v>
      </c>
      <c r="F2363" s="88">
        <v>7</v>
      </c>
      <c r="G2363" s="89" t="s">
        <v>1343</v>
      </c>
      <c r="H2363" s="89" t="s">
        <v>1347</v>
      </c>
      <c r="I2363" s="89" t="s">
        <v>66</v>
      </c>
      <c r="J2363" s="89" t="s">
        <v>125</v>
      </c>
      <c r="K2363" s="89" t="s">
        <v>5974</v>
      </c>
    </row>
    <row r="2364" spans="1:11" ht="42.75" x14ac:dyDescent="0.25">
      <c r="A2364" s="88">
        <v>108</v>
      </c>
      <c r="B2364" s="89" t="s">
        <v>1340</v>
      </c>
      <c r="C2364" s="88" t="s">
        <v>0</v>
      </c>
      <c r="D2364" s="89"/>
      <c r="E2364" s="46">
        <v>116104</v>
      </c>
      <c r="F2364" s="88">
        <v>7</v>
      </c>
      <c r="G2364" s="89" t="s">
        <v>1352</v>
      </c>
      <c r="H2364" s="89" t="s">
        <v>1353</v>
      </c>
      <c r="I2364" s="89" t="s">
        <v>66</v>
      </c>
      <c r="J2364" s="89" t="s">
        <v>125</v>
      </c>
      <c r="K2364" s="89" t="s">
        <v>6540</v>
      </c>
    </row>
    <row r="2365" spans="1:11" ht="42.75" x14ac:dyDescent="0.25">
      <c r="A2365" s="88">
        <v>108</v>
      </c>
      <c r="B2365" s="89" t="s">
        <v>1340</v>
      </c>
      <c r="C2365" s="88" t="s">
        <v>0</v>
      </c>
      <c r="D2365" s="89"/>
      <c r="E2365" s="46">
        <v>100652</v>
      </c>
      <c r="F2365" s="88">
        <v>7</v>
      </c>
      <c r="G2365" s="89" t="s">
        <v>1343</v>
      </c>
      <c r="H2365" s="89" t="s">
        <v>4106</v>
      </c>
      <c r="I2365" s="89" t="s">
        <v>66</v>
      </c>
      <c r="J2365" s="89" t="s">
        <v>125</v>
      </c>
      <c r="K2365" s="89" t="s">
        <v>6541</v>
      </c>
    </row>
    <row r="2366" spans="1:11" ht="42.75" x14ac:dyDescent="0.25">
      <c r="A2366" s="88">
        <v>108</v>
      </c>
      <c r="B2366" s="89" t="s">
        <v>1340</v>
      </c>
      <c r="C2366" s="88" t="s">
        <v>0</v>
      </c>
      <c r="D2366" s="89"/>
      <c r="E2366" s="46">
        <v>125384</v>
      </c>
      <c r="F2366" s="88">
        <v>7</v>
      </c>
      <c r="G2366" s="89" t="s">
        <v>1349</v>
      </c>
      <c r="H2366" s="89" t="s">
        <v>1354</v>
      </c>
      <c r="I2366" s="89" t="s">
        <v>237</v>
      </c>
      <c r="J2366" s="89" t="s">
        <v>1351</v>
      </c>
      <c r="K2366" s="89" t="s">
        <v>6542</v>
      </c>
    </row>
    <row r="2367" spans="1:11" ht="42.75" x14ac:dyDescent="0.25">
      <c r="A2367" s="88">
        <v>108</v>
      </c>
      <c r="B2367" s="89" t="s">
        <v>1340</v>
      </c>
      <c r="C2367" s="88" t="s">
        <v>0</v>
      </c>
      <c r="D2367" s="89"/>
      <c r="E2367" s="46">
        <v>148008</v>
      </c>
      <c r="F2367" s="88">
        <v>7</v>
      </c>
      <c r="G2367" s="89" t="s">
        <v>1349</v>
      </c>
      <c r="H2367" s="89" t="s">
        <v>1356</v>
      </c>
      <c r="I2367" s="89" t="s">
        <v>237</v>
      </c>
      <c r="J2367" s="89" t="s">
        <v>1351</v>
      </c>
      <c r="K2367" s="89" t="s">
        <v>6543</v>
      </c>
    </row>
    <row r="2368" spans="1:11" ht="42.75" x14ac:dyDescent="0.25">
      <c r="A2368" s="88">
        <v>108</v>
      </c>
      <c r="B2368" s="89" t="s">
        <v>1340</v>
      </c>
      <c r="C2368" s="88" t="s">
        <v>0</v>
      </c>
      <c r="D2368" s="89"/>
      <c r="E2368" s="46">
        <v>149291</v>
      </c>
      <c r="F2368" s="88">
        <v>7</v>
      </c>
      <c r="G2368" s="89" t="s">
        <v>1349</v>
      </c>
      <c r="H2368" s="89" t="s">
        <v>1350</v>
      </c>
      <c r="I2368" s="89" t="s">
        <v>237</v>
      </c>
      <c r="J2368" s="89" t="s">
        <v>1351</v>
      </c>
      <c r="K2368" s="89" t="s">
        <v>6544</v>
      </c>
    </row>
    <row r="2369" spans="1:11" ht="42.75" x14ac:dyDescent="0.25">
      <c r="A2369" s="88">
        <v>108</v>
      </c>
      <c r="B2369" s="89" t="s">
        <v>1340</v>
      </c>
      <c r="C2369" s="88" t="s">
        <v>0</v>
      </c>
      <c r="D2369" s="89"/>
      <c r="E2369" s="46">
        <v>149291</v>
      </c>
      <c r="F2369" s="88">
        <v>7</v>
      </c>
      <c r="G2369" s="89" t="s">
        <v>1349</v>
      </c>
      <c r="H2369" s="89" t="s">
        <v>1350</v>
      </c>
      <c r="I2369" s="89" t="s">
        <v>237</v>
      </c>
      <c r="J2369" s="89" t="s">
        <v>1351</v>
      </c>
      <c r="K2369" s="89" t="s">
        <v>6545</v>
      </c>
    </row>
    <row r="2370" spans="1:11" ht="42.75" x14ac:dyDescent="0.25">
      <c r="A2370" s="88">
        <v>108</v>
      </c>
      <c r="B2370" s="89" t="s">
        <v>1340</v>
      </c>
      <c r="C2370" s="88" t="s">
        <v>0</v>
      </c>
      <c r="D2370" s="89"/>
      <c r="E2370" s="46">
        <v>37129</v>
      </c>
      <c r="F2370" s="88">
        <v>7</v>
      </c>
      <c r="G2370" s="89" t="s">
        <v>4079</v>
      </c>
      <c r="H2370" s="89" t="s">
        <v>1393</v>
      </c>
      <c r="I2370" s="89" t="s">
        <v>66</v>
      </c>
      <c r="J2370" s="89" t="s">
        <v>125</v>
      </c>
      <c r="K2370" s="89" t="s">
        <v>6546</v>
      </c>
    </row>
    <row r="2371" spans="1:11" ht="42.75" x14ac:dyDescent="0.25">
      <c r="A2371" s="88">
        <v>108</v>
      </c>
      <c r="B2371" s="89" t="s">
        <v>1340</v>
      </c>
      <c r="C2371" s="88" t="s">
        <v>0</v>
      </c>
      <c r="D2371" s="89"/>
      <c r="E2371" s="46">
        <v>91428</v>
      </c>
      <c r="F2371" s="88">
        <v>7</v>
      </c>
      <c r="G2371" s="89" t="s">
        <v>1343</v>
      </c>
      <c r="H2371" s="89" t="s">
        <v>1344</v>
      </c>
      <c r="I2371" s="89" t="s">
        <v>66</v>
      </c>
      <c r="J2371" s="89" t="s">
        <v>125</v>
      </c>
      <c r="K2371" s="89" t="s">
        <v>6095</v>
      </c>
    </row>
    <row r="2372" spans="1:11" ht="42.75" x14ac:dyDescent="0.25">
      <c r="A2372" s="88">
        <v>108</v>
      </c>
      <c r="B2372" s="89" t="s">
        <v>1340</v>
      </c>
      <c r="C2372" s="88" t="s">
        <v>0</v>
      </c>
      <c r="D2372" s="89"/>
      <c r="E2372" s="46">
        <v>70461</v>
      </c>
      <c r="F2372" s="88">
        <v>7</v>
      </c>
      <c r="G2372" s="89" t="s">
        <v>4095</v>
      </c>
      <c r="H2372" s="89" t="s">
        <v>4105</v>
      </c>
      <c r="I2372" s="89" t="s">
        <v>66</v>
      </c>
      <c r="J2372" s="89" t="s">
        <v>125</v>
      </c>
      <c r="K2372" s="89" t="s">
        <v>6097</v>
      </c>
    </row>
    <row r="2373" spans="1:11" ht="42.75" x14ac:dyDescent="0.25">
      <c r="A2373" s="88">
        <v>108</v>
      </c>
      <c r="B2373" s="89" t="s">
        <v>824</v>
      </c>
      <c r="C2373" s="88" t="s">
        <v>0</v>
      </c>
      <c r="D2373" s="89"/>
      <c r="E2373" s="46">
        <v>78433</v>
      </c>
      <c r="F2373" s="88">
        <v>7</v>
      </c>
      <c r="G2373" s="89" t="s">
        <v>4103</v>
      </c>
      <c r="H2373" s="89" t="s">
        <v>2457</v>
      </c>
      <c r="I2373" s="89" t="s">
        <v>80</v>
      </c>
      <c r="J2373" s="89" t="s">
        <v>80</v>
      </c>
      <c r="K2373" s="89" t="str">
        <f>"00049532"</f>
        <v>00049532</v>
      </c>
    </row>
    <row r="2374" spans="1:11" ht="42.75" x14ac:dyDescent="0.25">
      <c r="A2374" s="88">
        <v>108</v>
      </c>
      <c r="B2374" s="89" t="s">
        <v>1340</v>
      </c>
      <c r="C2374" s="88" t="s">
        <v>0</v>
      </c>
      <c r="D2374" s="89"/>
      <c r="E2374" s="46">
        <v>218319</v>
      </c>
      <c r="F2374" s="88">
        <v>7</v>
      </c>
      <c r="G2374" s="89" t="s">
        <v>4110</v>
      </c>
      <c r="H2374" s="89" t="s">
        <v>4081</v>
      </c>
      <c r="I2374" s="89" t="s">
        <v>17</v>
      </c>
      <c r="J2374" s="89" t="s">
        <v>3663</v>
      </c>
      <c r="K2374" s="89" t="s">
        <v>6096</v>
      </c>
    </row>
    <row r="2375" spans="1:11" ht="71.25" x14ac:dyDescent="0.25">
      <c r="A2375" s="88">
        <v>108</v>
      </c>
      <c r="B2375" s="89" t="s">
        <v>1340</v>
      </c>
      <c r="C2375" s="88" t="s">
        <v>0</v>
      </c>
      <c r="D2375" s="89"/>
      <c r="E2375" s="94">
        <v>158334</v>
      </c>
      <c r="F2375" s="88">
        <v>7</v>
      </c>
      <c r="G2375" s="89" t="s">
        <v>4107</v>
      </c>
      <c r="H2375" s="89" t="s">
        <v>4108</v>
      </c>
      <c r="I2375" s="89" t="s">
        <v>80</v>
      </c>
      <c r="J2375" s="89" t="s">
        <v>80</v>
      </c>
      <c r="K2375" s="89" t="s">
        <v>5977</v>
      </c>
    </row>
    <row r="2376" spans="1:11" ht="42.75" x14ac:dyDescent="0.25">
      <c r="A2376" s="88">
        <v>108</v>
      </c>
      <c r="B2376" s="89" t="s">
        <v>1340</v>
      </c>
      <c r="C2376" s="88" t="s">
        <v>0</v>
      </c>
      <c r="D2376" s="89"/>
      <c r="E2376" s="94">
        <v>110077</v>
      </c>
      <c r="F2376" s="88">
        <v>7</v>
      </c>
      <c r="G2376" s="89" t="s">
        <v>1343</v>
      </c>
      <c r="H2376" s="89" t="s">
        <v>4109</v>
      </c>
      <c r="I2376" s="89" t="s">
        <v>66</v>
      </c>
      <c r="J2376" s="89" t="s">
        <v>125</v>
      </c>
      <c r="K2376" s="89" t="s">
        <v>5976</v>
      </c>
    </row>
    <row r="2377" spans="1:11" ht="99.75" x14ac:dyDescent="0.25">
      <c r="A2377" s="88">
        <v>108</v>
      </c>
      <c r="B2377" s="89" t="s">
        <v>1340</v>
      </c>
      <c r="C2377" s="88" t="s">
        <v>0</v>
      </c>
      <c r="D2377" s="89"/>
      <c r="E2377" s="46">
        <v>212120</v>
      </c>
      <c r="F2377" s="88">
        <v>7</v>
      </c>
      <c r="G2377" s="89" t="s">
        <v>4080</v>
      </c>
      <c r="H2377" s="89" t="s">
        <v>4081</v>
      </c>
      <c r="I2377" s="89" t="s">
        <v>4082</v>
      </c>
      <c r="J2377" s="89" t="s">
        <v>4083</v>
      </c>
      <c r="K2377" s="89" t="str">
        <f>"00048710"</f>
        <v>00048710</v>
      </c>
    </row>
    <row r="2378" spans="1:11" ht="42.75" x14ac:dyDescent="0.25">
      <c r="A2378" s="88">
        <v>108</v>
      </c>
      <c r="B2378" s="89" t="s">
        <v>1340</v>
      </c>
      <c r="C2378" s="88" t="s">
        <v>0</v>
      </c>
      <c r="D2378" s="89"/>
      <c r="E2378" s="46">
        <v>157671</v>
      </c>
      <c r="F2378" s="88">
        <v>7</v>
      </c>
      <c r="G2378" s="89" t="s">
        <v>1343</v>
      </c>
      <c r="H2378" s="89" t="s">
        <v>4104</v>
      </c>
      <c r="I2378" s="89" t="s">
        <v>66</v>
      </c>
      <c r="J2378" s="89" t="s">
        <v>125</v>
      </c>
      <c r="K2378" s="89" t="s">
        <v>6536</v>
      </c>
    </row>
    <row r="2379" spans="1:11" ht="42.75" x14ac:dyDescent="0.25">
      <c r="A2379" s="88">
        <v>108</v>
      </c>
      <c r="B2379" s="89" t="s">
        <v>1340</v>
      </c>
      <c r="C2379" s="88" t="s">
        <v>0</v>
      </c>
      <c r="D2379" s="89"/>
      <c r="E2379" s="46">
        <v>101687</v>
      </c>
      <c r="F2379" s="88">
        <v>7</v>
      </c>
      <c r="G2379" s="89" t="s">
        <v>1343</v>
      </c>
      <c r="H2379" s="89" t="s">
        <v>4084</v>
      </c>
      <c r="I2379" s="89" t="s">
        <v>66</v>
      </c>
      <c r="J2379" s="89" t="s">
        <v>125</v>
      </c>
      <c r="K2379" s="89" t="s">
        <v>6537</v>
      </c>
    </row>
    <row r="2380" spans="1:11" ht="114" x14ac:dyDescent="0.25">
      <c r="A2380" s="88">
        <v>108</v>
      </c>
      <c r="B2380" s="89" t="s">
        <v>1340</v>
      </c>
      <c r="C2380" s="88" t="s">
        <v>0</v>
      </c>
      <c r="D2380" s="89"/>
      <c r="E2380" s="46">
        <v>159268</v>
      </c>
      <c r="F2380" s="88">
        <v>7</v>
      </c>
      <c r="G2380" s="89" t="s">
        <v>4085</v>
      </c>
      <c r="H2380" s="89" t="s">
        <v>4086</v>
      </c>
      <c r="I2380" s="89" t="s">
        <v>32</v>
      </c>
      <c r="J2380" s="89" t="s">
        <v>4087</v>
      </c>
      <c r="K2380" s="89" t="s">
        <v>6538</v>
      </c>
    </row>
    <row r="2381" spans="1:11" ht="114" x14ac:dyDescent="0.25">
      <c r="A2381" s="88">
        <v>108</v>
      </c>
      <c r="B2381" s="89" t="s">
        <v>1340</v>
      </c>
      <c r="C2381" s="88" t="s">
        <v>0</v>
      </c>
      <c r="D2381" s="89"/>
      <c r="E2381" s="46">
        <v>116869</v>
      </c>
      <c r="F2381" s="88">
        <v>7</v>
      </c>
      <c r="G2381" s="89" t="s">
        <v>4091</v>
      </c>
      <c r="H2381" s="89" t="s">
        <v>4088</v>
      </c>
      <c r="I2381" s="89" t="s">
        <v>32</v>
      </c>
      <c r="J2381" s="89" t="s">
        <v>4087</v>
      </c>
      <c r="K2381" s="89" t="str">
        <f>"00050757"</f>
        <v>00050757</v>
      </c>
    </row>
    <row r="2382" spans="1:11" ht="42.75" x14ac:dyDescent="0.25">
      <c r="A2382" s="88">
        <v>108</v>
      </c>
      <c r="B2382" s="89" t="s">
        <v>3178</v>
      </c>
      <c r="C2382" s="88" t="s">
        <v>0</v>
      </c>
      <c r="D2382" s="89"/>
      <c r="E2382" s="46">
        <v>120339</v>
      </c>
      <c r="F2382" s="88">
        <v>7</v>
      </c>
      <c r="G2382" s="89" t="s">
        <v>4089</v>
      </c>
      <c r="H2382" s="89" t="s">
        <v>4090</v>
      </c>
      <c r="I2382" s="89" t="s">
        <v>665</v>
      </c>
      <c r="J2382" s="89" t="s">
        <v>1413</v>
      </c>
      <c r="K2382" s="89" t="s">
        <v>6534</v>
      </c>
    </row>
    <row r="2383" spans="1:11" ht="42.75" x14ac:dyDescent="0.25">
      <c r="A2383" s="88">
        <v>108</v>
      </c>
      <c r="B2383" s="89" t="s">
        <v>3178</v>
      </c>
      <c r="C2383" s="88" t="s">
        <v>0</v>
      </c>
      <c r="D2383" s="89"/>
      <c r="E2383" s="46">
        <v>120339</v>
      </c>
      <c r="F2383" s="88">
        <v>7</v>
      </c>
      <c r="G2383" s="89" t="s">
        <v>4089</v>
      </c>
      <c r="H2383" s="89" t="s">
        <v>4090</v>
      </c>
      <c r="I2383" s="89" t="s">
        <v>665</v>
      </c>
      <c r="J2383" s="89" t="s">
        <v>1413</v>
      </c>
      <c r="K2383" s="89" t="s">
        <v>6535</v>
      </c>
    </row>
    <row r="2384" spans="1:11" ht="57" x14ac:dyDescent="0.25">
      <c r="A2384" s="88">
        <v>108</v>
      </c>
      <c r="B2384" s="89" t="s">
        <v>824</v>
      </c>
      <c r="C2384" s="88" t="s">
        <v>0</v>
      </c>
      <c r="D2384" s="89"/>
      <c r="E2384" s="94">
        <v>50000</v>
      </c>
      <c r="F2384" s="88">
        <v>7</v>
      </c>
      <c r="G2384" s="89" t="s">
        <v>4092</v>
      </c>
      <c r="H2384" s="89" t="s">
        <v>4093</v>
      </c>
      <c r="I2384" s="89" t="s">
        <v>80</v>
      </c>
      <c r="J2384" s="89" t="s">
        <v>80</v>
      </c>
      <c r="K2384" s="89" t="s">
        <v>5979</v>
      </c>
    </row>
    <row r="2385" spans="1:11" ht="85.5" x14ac:dyDescent="0.25">
      <c r="A2385" s="88">
        <v>108</v>
      </c>
      <c r="B2385" s="89" t="s">
        <v>1340</v>
      </c>
      <c r="C2385" s="88" t="s">
        <v>0</v>
      </c>
      <c r="D2385" s="89"/>
      <c r="E2385" s="94">
        <v>159620</v>
      </c>
      <c r="F2385" s="88">
        <v>7</v>
      </c>
      <c r="G2385" s="89" t="s">
        <v>4094</v>
      </c>
      <c r="H2385" s="89" t="s">
        <v>3205</v>
      </c>
      <c r="I2385" s="89" t="s">
        <v>32</v>
      </c>
      <c r="J2385" s="89" t="s">
        <v>3206</v>
      </c>
      <c r="K2385" s="89" t="s">
        <v>5978</v>
      </c>
    </row>
    <row r="2386" spans="1:11" ht="42.75" x14ac:dyDescent="0.25">
      <c r="A2386" s="88">
        <v>108</v>
      </c>
      <c r="B2386" s="89" t="s">
        <v>3178</v>
      </c>
      <c r="C2386" s="88" t="s">
        <v>0</v>
      </c>
      <c r="D2386" s="89"/>
      <c r="E2386" s="46">
        <v>120339</v>
      </c>
      <c r="F2386" s="88">
        <v>7</v>
      </c>
      <c r="G2386" s="89" t="s">
        <v>4089</v>
      </c>
      <c r="H2386" s="89" t="s">
        <v>4090</v>
      </c>
      <c r="I2386" s="89" t="s">
        <v>665</v>
      </c>
      <c r="J2386" s="89" t="s">
        <v>1413</v>
      </c>
      <c r="K2386" s="89" t="s">
        <v>6482</v>
      </c>
    </row>
    <row r="2387" spans="1:11" ht="114" x14ac:dyDescent="0.25">
      <c r="A2387" s="88">
        <v>108</v>
      </c>
      <c r="B2387" s="89" t="s">
        <v>1340</v>
      </c>
      <c r="C2387" s="88" t="s">
        <v>0</v>
      </c>
      <c r="D2387" s="89"/>
      <c r="E2387" s="46">
        <v>106716</v>
      </c>
      <c r="F2387" s="88">
        <v>7</v>
      </c>
      <c r="G2387" s="89" t="s">
        <v>4085</v>
      </c>
      <c r="H2387" s="89" t="s">
        <v>4088</v>
      </c>
      <c r="I2387" s="89" t="s">
        <v>32</v>
      </c>
      <c r="J2387" s="89" t="s">
        <v>4087</v>
      </c>
      <c r="K2387" s="89" t="s">
        <v>6483</v>
      </c>
    </row>
    <row r="2388" spans="1:11" ht="114" x14ac:dyDescent="0.25">
      <c r="A2388" s="88">
        <v>108</v>
      </c>
      <c r="B2388" s="89" t="s">
        <v>1340</v>
      </c>
      <c r="C2388" s="88" t="s">
        <v>0</v>
      </c>
      <c r="D2388" s="89"/>
      <c r="E2388" s="46">
        <v>159254</v>
      </c>
      <c r="F2388" s="88">
        <v>7</v>
      </c>
      <c r="G2388" s="89" t="s">
        <v>4085</v>
      </c>
      <c r="H2388" s="89" t="s">
        <v>4086</v>
      </c>
      <c r="I2388" s="89" t="s">
        <v>32</v>
      </c>
      <c r="J2388" s="89" t="s">
        <v>4087</v>
      </c>
      <c r="K2388" s="89" t="s">
        <v>6484</v>
      </c>
    </row>
    <row r="2389" spans="1:11" ht="42.75" x14ac:dyDescent="0.25">
      <c r="A2389" s="88">
        <v>108</v>
      </c>
      <c r="B2389" s="89" t="s">
        <v>1340</v>
      </c>
      <c r="C2389" s="88" t="s">
        <v>0</v>
      </c>
      <c r="D2389" s="89"/>
      <c r="E2389" s="46">
        <v>103511</v>
      </c>
      <c r="F2389" s="88">
        <v>7</v>
      </c>
      <c r="G2389" s="89" t="s">
        <v>1343</v>
      </c>
      <c r="H2389" s="89" t="s">
        <v>4084</v>
      </c>
      <c r="I2389" s="89" t="s">
        <v>66</v>
      </c>
      <c r="J2389" s="89" t="s">
        <v>125</v>
      </c>
      <c r="K2389" s="89" t="s">
        <v>6485</v>
      </c>
    </row>
    <row r="2390" spans="1:11" ht="114" x14ac:dyDescent="0.25">
      <c r="A2390" s="88">
        <v>108</v>
      </c>
      <c r="B2390" s="89" t="s">
        <v>1340</v>
      </c>
      <c r="C2390" s="88" t="s">
        <v>0</v>
      </c>
      <c r="D2390" s="89"/>
      <c r="E2390" s="46">
        <v>159947</v>
      </c>
      <c r="F2390" s="88">
        <v>7</v>
      </c>
      <c r="G2390" s="89" t="s">
        <v>4085</v>
      </c>
      <c r="H2390" s="89" t="s">
        <v>4086</v>
      </c>
      <c r="I2390" s="89" t="s">
        <v>32</v>
      </c>
      <c r="J2390" s="89" t="s">
        <v>4087</v>
      </c>
      <c r="K2390" s="89" t="s">
        <v>6486</v>
      </c>
    </row>
    <row r="2391" spans="1:11" ht="42.75" x14ac:dyDescent="0.25">
      <c r="A2391" s="88">
        <v>108</v>
      </c>
      <c r="B2391" s="89" t="s">
        <v>1340</v>
      </c>
      <c r="C2391" s="88" t="s">
        <v>0</v>
      </c>
      <c r="D2391" s="89"/>
      <c r="E2391" s="46">
        <v>102104</v>
      </c>
      <c r="F2391" s="88">
        <v>7</v>
      </c>
      <c r="G2391" s="89" t="s">
        <v>1343</v>
      </c>
      <c r="H2391" s="89" t="s">
        <v>4113</v>
      </c>
      <c r="I2391" s="89" t="s">
        <v>66</v>
      </c>
      <c r="J2391" s="89" t="s">
        <v>125</v>
      </c>
      <c r="K2391" s="89" t="s">
        <v>6487</v>
      </c>
    </row>
    <row r="2392" spans="1:11" ht="42.75" x14ac:dyDescent="0.25">
      <c r="A2392" s="88">
        <v>108</v>
      </c>
      <c r="B2392" s="89" t="s">
        <v>1340</v>
      </c>
      <c r="C2392" s="88" t="s">
        <v>0</v>
      </c>
      <c r="D2392" s="89"/>
      <c r="E2392" s="46">
        <v>102104</v>
      </c>
      <c r="F2392" s="88">
        <v>7</v>
      </c>
      <c r="G2392" s="89" t="s">
        <v>1343</v>
      </c>
      <c r="H2392" s="89" t="s">
        <v>4113</v>
      </c>
      <c r="I2392" s="89" t="s">
        <v>66</v>
      </c>
      <c r="J2392" s="89" t="s">
        <v>125</v>
      </c>
      <c r="K2392" s="89" t="s">
        <v>5981</v>
      </c>
    </row>
    <row r="2393" spans="1:11" ht="114" x14ac:dyDescent="0.25">
      <c r="A2393" s="88">
        <v>108</v>
      </c>
      <c r="B2393" s="89" t="s">
        <v>1340</v>
      </c>
      <c r="C2393" s="88" t="s">
        <v>0</v>
      </c>
      <c r="D2393" s="89"/>
      <c r="E2393" s="46">
        <v>159954</v>
      </c>
      <c r="F2393" s="88">
        <v>7</v>
      </c>
      <c r="G2393" s="89" t="s">
        <v>4085</v>
      </c>
      <c r="H2393" s="89" t="s">
        <v>4086</v>
      </c>
      <c r="I2393" s="89" t="s">
        <v>32</v>
      </c>
      <c r="J2393" s="89" t="s">
        <v>4087</v>
      </c>
      <c r="K2393" s="89" t="s">
        <v>5980</v>
      </c>
    </row>
    <row r="2394" spans="1:11" ht="42.75" x14ac:dyDescent="0.25">
      <c r="A2394" s="88">
        <v>108</v>
      </c>
      <c r="B2394" s="89" t="s">
        <v>1340</v>
      </c>
      <c r="C2394" s="88" t="s">
        <v>0</v>
      </c>
      <c r="D2394" s="89"/>
      <c r="E2394" s="46">
        <v>102104</v>
      </c>
      <c r="F2394" s="88">
        <v>7</v>
      </c>
      <c r="G2394" s="89" t="s">
        <v>1343</v>
      </c>
      <c r="H2394" s="89" t="s">
        <v>4113</v>
      </c>
      <c r="I2394" s="89" t="s">
        <v>66</v>
      </c>
      <c r="J2394" s="89" t="s">
        <v>125</v>
      </c>
      <c r="K2394" s="89" t="s">
        <v>6099</v>
      </c>
    </row>
    <row r="2395" spans="1:11" ht="42.75" x14ac:dyDescent="0.25">
      <c r="A2395" s="88">
        <v>108</v>
      </c>
      <c r="B2395" s="89" t="s">
        <v>1340</v>
      </c>
      <c r="C2395" s="88" t="s">
        <v>0</v>
      </c>
      <c r="D2395" s="89"/>
      <c r="E2395" s="46">
        <v>117645</v>
      </c>
      <c r="F2395" s="88">
        <v>7</v>
      </c>
      <c r="G2395" s="89" t="s">
        <v>1343</v>
      </c>
      <c r="H2395" s="89" t="s">
        <v>3213</v>
      </c>
      <c r="I2395" s="89" t="s">
        <v>66</v>
      </c>
      <c r="J2395" s="89" t="s">
        <v>2396</v>
      </c>
      <c r="K2395" s="89" t="s">
        <v>6098</v>
      </c>
    </row>
    <row r="2396" spans="1:11" ht="42.75" x14ac:dyDescent="0.25">
      <c r="A2396" s="88">
        <v>108</v>
      </c>
      <c r="B2396" s="89" t="s">
        <v>1340</v>
      </c>
      <c r="C2396" s="88" t="s">
        <v>0</v>
      </c>
      <c r="D2396" s="89"/>
      <c r="E2396" s="46">
        <v>102104</v>
      </c>
      <c r="F2396" s="88">
        <v>7</v>
      </c>
      <c r="G2396" s="89" t="s">
        <v>1343</v>
      </c>
      <c r="H2396" s="89" t="s">
        <v>4113</v>
      </c>
      <c r="I2396" s="89" t="s">
        <v>66</v>
      </c>
      <c r="J2396" s="89" t="s">
        <v>125</v>
      </c>
      <c r="K2396" s="89" t="s">
        <v>6100</v>
      </c>
    </row>
    <row r="2397" spans="1:11" ht="42.75" x14ac:dyDescent="0.25">
      <c r="A2397" s="88">
        <v>108</v>
      </c>
      <c r="B2397" s="89" t="s">
        <v>3178</v>
      </c>
      <c r="C2397" s="88" t="s">
        <v>0</v>
      </c>
      <c r="D2397" s="89"/>
      <c r="E2397" s="46">
        <v>97571</v>
      </c>
      <c r="F2397" s="88">
        <v>7</v>
      </c>
      <c r="G2397" s="89" t="s">
        <v>4111</v>
      </c>
      <c r="H2397" s="89" t="s">
        <v>4112</v>
      </c>
      <c r="I2397" s="89" t="s">
        <v>161</v>
      </c>
      <c r="J2397" s="89" t="s">
        <v>3269</v>
      </c>
      <c r="K2397" s="89" t="s">
        <v>6488</v>
      </c>
    </row>
    <row r="2398" spans="1:11" ht="42.75" x14ac:dyDescent="0.25">
      <c r="A2398" s="88">
        <v>108</v>
      </c>
      <c r="B2398" s="89" t="s">
        <v>3178</v>
      </c>
      <c r="C2398" s="88" t="s">
        <v>0</v>
      </c>
      <c r="D2398" s="89"/>
      <c r="E2398" s="46">
        <v>68145</v>
      </c>
      <c r="F2398" s="88">
        <v>7</v>
      </c>
      <c r="G2398" s="89" t="s">
        <v>4111</v>
      </c>
      <c r="H2398" s="89" t="s">
        <v>2583</v>
      </c>
      <c r="I2398" s="89" t="s">
        <v>161</v>
      </c>
      <c r="J2398" s="89" t="s">
        <v>3269</v>
      </c>
      <c r="K2398" s="89" t="s">
        <v>6489</v>
      </c>
    </row>
    <row r="2399" spans="1:11" ht="42.75" x14ac:dyDescent="0.25">
      <c r="A2399" s="88">
        <v>108</v>
      </c>
      <c r="B2399" s="89" t="s">
        <v>3178</v>
      </c>
      <c r="C2399" s="88" t="s">
        <v>0</v>
      </c>
      <c r="D2399" s="89"/>
      <c r="E2399" s="46">
        <v>73221</v>
      </c>
      <c r="F2399" s="88">
        <v>7</v>
      </c>
      <c r="G2399" s="89" t="s">
        <v>4111</v>
      </c>
      <c r="H2399" s="89" t="s">
        <v>4112</v>
      </c>
      <c r="I2399" s="89" t="s">
        <v>161</v>
      </c>
      <c r="J2399" s="89" t="s">
        <v>3269</v>
      </c>
      <c r="K2399" s="89" t="s">
        <v>6490</v>
      </c>
    </row>
    <row r="2400" spans="1:11" ht="42.75" x14ac:dyDescent="0.25">
      <c r="A2400" s="88">
        <v>108</v>
      </c>
      <c r="B2400" s="89" t="s">
        <v>3178</v>
      </c>
      <c r="C2400" s="88" t="s">
        <v>0</v>
      </c>
      <c r="D2400" s="89"/>
      <c r="E2400" s="46">
        <v>69941</v>
      </c>
      <c r="F2400" s="88">
        <v>7</v>
      </c>
      <c r="G2400" s="89" t="s">
        <v>4111</v>
      </c>
      <c r="H2400" s="89" t="s">
        <v>4112</v>
      </c>
      <c r="I2400" s="89" t="s">
        <v>161</v>
      </c>
      <c r="J2400" s="89" t="s">
        <v>3269</v>
      </c>
      <c r="K2400" s="89" t="s">
        <v>6491</v>
      </c>
    </row>
    <row r="2401" spans="1:11" ht="42.75" x14ac:dyDescent="0.25">
      <c r="A2401" s="88">
        <v>108</v>
      </c>
      <c r="B2401" s="89" t="s">
        <v>1340</v>
      </c>
      <c r="C2401" s="88" t="s">
        <v>0</v>
      </c>
      <c r="D2401" s="89"/>
      <c r="E2401" s="46">
        <v>114403</v>
      </c>
      <c r="F2401" s="88">
        <v>7</v>
      </c>
      <c r="G2401" s="89" t="s">
        <v>1343</v>
      </c>
      <c r="H2401" s="89" t="s">
        <v>3213</v>
      </c>
      <c r="I2401" s="89" t="s">
        <v>66</v>
      </c>
      <c r="J2401" s="89" t="s">
        <v>2396</v>
      </c>
      <c r="K2401" s="89" t="s">
        <v>6492</v>
      </c>
    </row>
    <row r="2402" spans="1:11" ht="42.75" x14ac:dyDescent="0.25">
      <c r="A2402" s="88">
        <v>108</v>
      </c>
      <c r="B2402" s="89" t="s">
        <v>3178</v>
      </c>
      <c r="C2402" s="88" t="s">
        <v>0</v>
      </c>
      <c r="D2402" s="89"/>
      <c r="E2402" s="94">
        <v>69941</v>
      </c>
      <c r="F2402" s="88">
        <v>7</v>
      </c>
      <c r="G2402" s="89" t="s">
        <v>4111</v>
      </c>
      <c r="H2402" s="89" t="s">
        <v>4112</v>
      </c>
      <c r="I2402" s="89" t="s">
        <v>161</v>
      </c>
      <c r="J2402" s="89" t="s">
        <v>3269</v>
      </c>
      <c r="K2402" s="89" t="s">
        <v>5983</v>
      </c>
    </row>
    <row r="2403" spans="1:11" ht="42.75" x14ac:dyDescent="0.25">
      <c r="A2403" s="88">
        <v>108</v>
      </c>
      <c r="B2403" s="89" t="s">
        <v>1340</v>
      </c>
      <c r="C2403" s="88" t="s">
        <v>0</v>
      </c>
      <c r="D2403" s="89"/>
      <c r="E2403" s="94">
        <v>224047</v>
      </c>
      <c r="F2403" s="88">
        <v>7</v>
      </c>
      <c r="G2403" s="89" t="s">
        <v>4095</v>
      </c>
      <c r="H2403" s="89" t="s">
        <v>4102</v>
      </c>
      <c r="I2403" s="89" t="s">
        <v>66</v>
      </c>
      <c r="J2403" s="89" t="s">
        <v>125</v>
      </c>
      <c r="K2403" s="89" t="s">
        <v>5982</v>
      </c>
    </row>
    <row r="2404" spans="1:11" ht="42.75" x14ac:dyDescent="0.25">
      <c r="A2404" s="88">
        <v>108</v>
      </c>
      <c r="B2404" s="89" t="s">
        <v>3178</v>
      </c>
      <c r="C2404" s="88" t="s">
        <v>0</v>
      </c>
      <c r="D2404" s="89"/>
      <c r="E2404" s="46">
        <v>69640</v>
      </c>
      <c r="F2404" s="88">
        <v>7</v>
      </c>
      <c r="G2404" s="89" t="s">
        <v>4111</v>
      </c>
      <c r="H2404" s="89" t="s">
        <v>4112</v>
      </c>
      <c r="I2404" s="89" t="s">
        <v>161</v>
      </c>
      <c r="J2404" s="89" t="s">
        <v>3269</v>
      </c>
      <c r="K2404" s="89" t="s">
        <v>6101</v>
      </c>
    </row>
    <row r="2405" spans="1:11" ht="57" x14ac:dyDescent="0.25">
      <c r="A2405" s="88">
        <v>108</v>
      </c>
      <c r="B2405" s="89" t="s">
        <v>3198</v>
      </c>
      <c r="C2405" s="88" t="s">
        <v>0</v>
      </c>
      <c r="D2405" s="89"/>
      <c r="E2405" s="46">
        <v>10000</v>
      </c>
      <c r="F2405" s="88">
        <v>7</v>
      </c>
      <c r="G2405" s="89" t="s">
        <v>4101</v>
      </c>
      <c r="H2405" s="89" t="s">
        <v>3193</v>
      </c>
      <c r="I2405" s="89" t="s">
        <v>3189</v>
      </c>
      <c r="J2405" s="89" t="s">
        <v>3190</v>
      </c>
      <c r="K2405" s="89" t="s">
        <v>6102</v>
      </c>
    </row>
    <row r="2406" spans="1:11" ht="185.25" x14ac:dyDescent="0.25">
      <c r="A2406" s="88">
        <v>108</v>
      </c>
      <c r="B2406" s="89" t="s">
        <v>1340</v>
      </c>
      <c r="C2406" s="88" t="s">
        <v>0</v>
      </c>
      <c r="D2406" s="89"/>
      <c r="E2406" s="46">
        <v>94196</v>
      </c>
      <c r="F2406" s="88">
        <v>7</v>
      </c>
      <c r="G2406" s="89" t="s">
        <v>4097</v>
      </c>
      <c r="H2406" s="89" t="s">
        <v>4098</v>
      </c>
      <c r="I2406" s="89" t="s">
        <v>32</v>
      </c>
      <c r="J2406" s="89" t="s">
        <v>4099</v>
      </c>
      <c r="K2406" s="89" t="str">
        <f>"00050554"</f>
        <v>00050554</v>
      </c>
    </row>
    <row r="2407" spans="1:11" ht="57" x14ac:dyDescent="0.25">
      <c r="A2407" s="88">
        <v>108</v>
      </c>
      <c r="B2407" s="89" t="s">
        <v>5845</v>
      </c>
      <c r="C2407" s="88" t="s">
        <v>0</v>
      </c>
      <c r="D2407" s="89"/>
      <c r="E2407" s="46">
        <v>10000</v>
      </c>
      <c r="F2407" s="88">
        <v>7</v>
      </c>
      <c r="G2407" s="89" t="s">
        <v>4101</v>
      </c>
      <c r="H2407" s="89" t="s">
        <v>3188</v>
      </c>
      <c r="I2407" s="89" t="s">
        <v>3189</v>
      </c>
      <c r="J2407" s="89" t="s">
        <v>3190</v>
      </c>
      <c r="K2407" s="89" t="s">
        <v>6103</v>
      </c>
    </row>
    <row r="2408" spans="1:11" ht="42.75" x14ac:dyDescent="0.25">
      <c r="A2408" s="88">
        <v>108</v>
      </c>
      <c r="B2408" s="89" t="s">
        <v>1340</v>
      </c>
      <c r="C2408" s="88" t="s">
        <v>0</v>
      </c>
      <c r="D2408" s="89"/>
      <c r="E2408" s="46">
        <v>55663</v>
      </c>
      <c r="F2408" s="88">
        <v>7</v>
      </c>
      <c r="G2408" s="89" t="s">
        <v>4095</v>
      </c>
      <c r="H2408" s="89" t="s">
        <v>4096</v>
      </c>
      <c r="I2408" s="89" t="s">
        <v>66</v>
      </c>
      <c r="J2408" s="89" t="s">
        <v>125</v>
      </c>
      <c r="K2408" s="89" t="s">
        <v>6104</v>
      </c>
    </row>
    <row r="2409" spans="1:11" ht="42.75" x14ac:dyDescent="0.25">
      <c r="A2409" s="88">
        <v>108</v>
      </c>
      <c r="B2409" s="89" t="s">
        <v>3178</v>
      </c>
      <c r="C2409" s="88" t="s">
        <v>0</v>
      </c>
      <c r="D2409" s="89"/>
      <c r="E2409" s="46">
        <v>59526</v>
      </c>
      <c r="F2409" s="88">
        <v>7</v>
      </c>
      <c r="G2409" s="89" t="s">
        <v>4100</v>
      </c>
      <c r="H2409" s="89" t="s">
        <v>2602</v>
      </c>
      <c r="I2409" s="89" t="s">
        <v>66</v>
      </c>
      <c r="J2409" s="89" t="s">
        <v>1311</v>
      </c>
      <c r="K2409" s="89" t="s">
        <v>6105</v>
      </c>
    </row>
    <row r="2410" spans="1:11" ht="42.75" x14ac:dyDescent="0.25">
      <c r="A2410" s="88">
        <v>108</v>
      </c>
      <c r="B2410" s="89" t="s">
        <v>3178</v>
      </c>
      <c r="C2410" s="88" t="s">
        <v>0</v>
      </c>
      <c r="D2410" s="89"/>
      <c r="E2410" s="46">
        <v>59526</v>
      </c>
      <c r="F2410" s="88">
        <v>7</v>
      </c>
      <c r="G2410" s="89" t="s">
        <v>4100</v>
      </c>
      <c r="H2410" s="89" t="s">
        <v>2602</v>
      </c>
      <c r="I2410" s="89" t="s">
        <v>66</v>
      </c>
      <c r="J2410" s="89" t="s">
        <v>1311</v>
      </c>
      <c r="K2410" s="89" t="s">
        <v>6106</v>
      </c>
    </row>
    <row r="2411" spans="1:11" ht="42.75" x14ac:dyDescent="0.25">
      <c r="A2411" s="88">
        <v>108</v>
      </c>
      <c r="B2411" s="89" t="s">
        <v>3178</v>
      </c>
      <c r="C2411" s="88" t="s">
        <v>0</v>
      </c>
      <c r="D2411" s="89"/>
      <c r="E2411" s="46">
        <v>85867</v>
      </c>
      <c r="F2411" s="88">
        <v>7</v>
      </c>
      <c r="G2411" s="89" t="s">
        <v>5846</v>
      </c>
      <c r="H2411" s="89" t="s">
        <v>5847</v>
      </c>
      <c r="I2411" s="89" t="s">
        <v>5848</v>
      </c>
      <c r="J2411" s="89" t="s">
        <v>5849</v>
      </c>
      <c r="K2411" s="89" t="s">
        <v>6107</v>
      </c>
    </row>
    <row r="2412" spans="1:11" ht="42.75" x14ac:dyDescent="0.25">
      <c r="A2412" s="88">
        <v>108</v>
      </c>
      <c r="B2412" s="89" t="s">
        <v>3178</v>
      </c>
      <c r="C2412" s="88" t="s">
        <v>0</v>
      </c>
      <c r="D2412" s="89"/>
      <c r="E2412" s="46">
        <v>85867</v>
      </c>
      <c r="F2412" s="88">
        <v>7</v>
      </c>
      <c r="G2412" s="89" t="s">
        <v>5850</v>
      </c>
      <c r="H2412" s="89" t="s">
        <v>5851</v>
      </c>
      <c r="I2412" s="89" t="s">
        <v>5848</v>
      </c>
      <c r="J2412" s="89" t="s">
        <v>5848</v>
      </c>
      <c r="K2412" s="89" t="s">
        <v>6108</v>
      </c>
    </row>
    <row r="2413" spans="1:11" x14ac:dyDescent="0.25">
      <c r="A2413" s="144" t="s">
        <v>5852</v>
      </c>
      <c r="B2413" s="144"/>
      <c r="C2413" s="144"/>
      <c r="D2413" s="144"/>
      <c r="E2413" s="110">
        <f>SUM(E1491:E2412)</f>
        <v>58957343</v>
      </c>
      <c r="F2413" s="120"/>
      <c r="G2413" s="77"/>
      <c r="H2413" s="77"/>
      <c r="I2413" s="77"/>
      <c r="J2413" s="77"/>
      <c r="K2413" s="77"/>
    </row>
    <row r="2414" spans="1:11" x14ac:dyDescent="0.25">
      <c r="A2414" s="138" t="s">
        <v>4695</v>
      </c>
      <c r="B2414" s="138"/>
      <c r="C2414" s="92"/>
      <c r="D2414" s="11"/>
      <c r="E2414" s="117"/>
      <c r="F2414" s="92"/>
      <c r="G2414" s="11"/>
      <c r="H2414" s="11"/>
      <c r="I2414" s="11"/>
      <c r="J2414" s="11"/>
      <c r="K2414" s="11"/>
    </row>
    <row r="2415" spans="1:11" ht="28.5" x14ac:dyDescent="0.25">
      <c r="A2415" s="88">
        <v>108</v>
      </c>
      <c r="B2415" s="89" t="s">
        <v>12</v>
      </c>
      <c r="C2415" s="88"/>
      <c r="D2415" s="94">
        <v>300000</v>
      </c>
      <c r="E2415" s="90"/>
      <c r="F2415" s="88">
        <v>8</v>
      </c>
      <c r="G2415" s="89" t="s">
        <v>13</v>
      </c>
      <c r="H2415" s="89"/>
      <c r="I2415" s="89" t="s">
        <v>14</v>
      </c>
      <c r="J2415" s="89"/>
      <c r="K2415" s="89" t="str">
        <f>"　"</f>
        <v>　</v>
      </c>
    </row>
    <row r="2416" spans="1:11" ht="57" x14ac:dyDescent="0.25">
      <c r="A2416" s="88">
        <v>108</v>
      </c>
      <c r="B2416" s="89" t="s">
        <v>12</v>
      </c>
      <c r="C2416" s="88" t="s">
        <v>0</v>
      </c>
      <c r="D2416" s="89"/>
      <c r="E2416" s="90">
        <v>143633</v>
      </c>
      <c r="F2416" s="88">
        <v>8</v>
      </c>
      <c r="G2416" s="89" t="s">
        <v>1394</v>
      </c>
      <c r="H2416" s="89" t="s">
        <v>365</v>
      </c>
      <c r="I2416" s="89" t="s">
        <v>17</v>
      </c>
      <c r="J2416" s="89" t="s">
        <v>18</v>
      </c>
      <c r="K2416" s="89" t="str">
        <f>"00048186"</f>
        <v>00048186</v>
      </c>
    </row>
    <row r="2417" spans="1:11" ht="114" x14ac:dyDescent="0.25">
      <c r="A2417" s="88">
        <v>108</v>
      </c>
      <c r="B2417" s="89" t="s">
        <v>12</v>
      </c>
      <c r="C2417" s="88" t="s">
        <v>0</v>
      </c>
      <c r="D2417" s="89"/>
      <c r="E2417" s="90">
        <v>98057</v>
      </c>
      <c r="F2417" s="88">
        <v>8</v>
      </c>
      <c r="G2417" s="89" t="s">
        <v>1395</v>
      </c>
      <c r="H2417" s="89" t="s">
        <v>22</v>
      </c>
      <c r="I2417" s="89" t="s">
        <v>17</v>
      </c>
      <c r="J2417" s="89" t="s">
        <v>18</v>
      </c>
      <c r="K2417" s="89" t="str">
        <f>"00047058"</f>
        <v>00047058</v>
      </c>
    </row>
    <row r="2418" spans="1:11" ht="28.5" x14ac:dyDescent="0.25">
      <c r="A2418" s="88">
        <v>108</v>
      </c>
      <c r="B2418" s="89" t="s">
        <v>12</v>
      </c>
      <c r="C2418" s="88"/>
      <c r="D2418" s="94">
        <v>300000</v>
      </c>
      <c r="E2418" s="90"/>
      <c r="F2418" s="88">
        <v>8</v>
      </c>
      <c r="G2418" s="89" t="s">
        <v>52</v>
      </c>
      <c r="H2418" s="89"/>
      <c r="I2418" s="89" t="s">
        <v>14</v>
      </c>
      <c r="J2418" s="89"/>
      <c r="K2418" s="89" t="str">
        <f>"　"</f>
        <v>　</v>
      </c>
    </row>
    <row r="2419" spans="1:11" ht="42.75" x14ac:dyDescent="0.25">
      <c r="A2419" s="88">
        <v>108</v>
      </c>
      <c r="B2419" s="89" t="s">
        <v>4691</v>
      </c>
      <c r="C2419" s="88" t="s">
        <v>0</v>
      </c>
      <c r="D2419" s="89"/>
      <c r="E2419" s="90">
        <v>71781</v>
      </c>
      <c r="F2419" s="88">
        <v>8</v>
      </c>
      <c r="G2419" s="89" t="s">
        <v>4692</v>
      </c>
      <c r="H2419" s="89" t="s">
        <v>3406</v>
      </c>
      <c r="I2419" s="89" t="s">
        <v>237</v>
      </c>
      <c r="J2419" s="89" t="s">
        <v>4693</v>
      </c>
      <c r="K2419" s="89" t="str">
        <f>"00052155"</f>
        <v>00052155</v>
      </c>
    </row>
    <row r="2420" spans="1:11" ht="42.75" x14ac:dyDescent="0.25">
      <c r="A2420" s="88">
        <v>108</v>
      </c>
      <c r="B2420" s="89" t="s">
        <v>4694</v>
      </c>
      <c r="C2420" s="88" t="s">
        <v>0</v>
      </c>
      <c r="D2420" s="89"/>
      <c r="E2420" s="90">
        <v>71781</v>
      </c>
      <c r="F2420" s="88">
        <v>8</v>
      </c>
      <c r="G2420" s="89" t="s">
        <v>4692</v>
      </c>
      <c r="H2420" s="89" t="s">
        <v>3406</v>
      </c>
      <c r="I2420" s="89" t="s">
        <v>237</v>
      </c>
      <c r="J2420" s="89" t="s">
        <v>4693</v>
      </c>
      <c r="K2420" s="89" t="str">
        <f>"00052156"</f>
        <v>00052156</v>
      </c>
    </row>
    <row r="2421" spans="1:11" x14ac:dyDescent="0.25">
      <c r="A2421" s="141" t="s">
        <v>5766</v>
      </c>
      <c r="B2421" s="141"/>
      <c r="C2421" s="141"/>
      <c r="D2421" s="142"/>
      <c r="E2421" s="130">
        <f>SUM(E2415:E2420)</f>
        <v>385252</v>
      </c>
      <c r="F2421" s="92"/>
      <c r="G2421" s="11"/>
      <c r="H2421" s="11"/>
      <c r="I2421" s="11"/>
      <c r="J2421" s="11"/>
      <c r="K2421" s="11"/>
    </row>
    <row r="2422" spans="1:11" ht="19.5" x14ac:dyDescent="0.25">
      <c r="A2422" s="136" t="s">
        <v>6277</v>
      </c>
      <c r="B2422" s="136"/>
      <c r="C2422" s="136"/>
      <c r="D2422" s="71">
        <v>130910000</v>
      </c>
      <c r="E2422" s="72">
        <v>147044073</v>
      </c>
      <c r="F2422" s="137"/>
      <c r="G2422" s="137"/>
      <c r="H2422" s="137"/>
      <c r="I2422" s="137"/>
      <c r="J2422" s="137"/>
      <c r="K2422" s="137"/>
    </row>
    <row r="2424" spans="1:11" x14ac:dyDescent="0.25">
      <c r="G2424" s="12"/>
    </row>
    <row r="2428" spans="1:11" x14ac:dyDescent="0.25">
      <c r="G2428" s="75"/>
    </row>
  </sheetData>
  <mergeCells count="17">
    <mergeCell ref="F1:F2"/>
    <mergeCell ref="A1:E1"/>
    <mergeCell ref="A2422:C2422"/>
    <mergeCell ref="F2422:K2422"/>
    <mergeCell ref="A1369:B1369"/>
    <mergeCell ref="A1368:D1368"/>
    <mergeCell ref="A2414:B2414"/>
    <mergeCell ref="A1489:D1489"/>
    <mergeCell ref="A2421:D2421"/>
    <mergeCell ref="A1479:K1479"/>
    <mergeCell ref="A1490:B1490"/>
    <mergeCell ref="A1478:D1478"/>
    <mergeCell ref="A2413:D2413"/>
    <mergeCell ref="I1:J1"/>
    <mergeCell ref="K1:K2"/>
    <mergeCell ref="H1:H2"/>
    <mergeCell ref="G1:G2"/>
  </mergeCells>
  <phoneticPr fontId="2" type="noConversion"/>
  <printOptions horizontalCentered="1"/>
  <pageMargins left="0.98425196850393704" right="0.98425196850393704" top="0.6692913385826772" bottom="0.39370078740157483" header="0.15748031496062992" footer="0.23622047244094491"/>
  <pageSetup paperSize="9" scale="65" orientation="landscape" r:id="rId1"/>
  <headerFooter>
    <oddHeader>&amp;C中央研究院科學研究基金
出國計畫執行情形報告表
中華民國108年度&amp;R
單位：新臺幣元</oddHeader>
    <oddFooter xml:space="preserve">&amp;C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8"/>
  <sheetViews>
    <sheetView view="pageBreakPreview" zoomScale="85" zoomScaleNormal="100" zoomScaleSheetLayoutView="85" workbookViewId="0">
      <selection activeCell="L7" sqref="L7"/>
    </sheetView>
  </sheetViews>
  <sheetFormatPr defaultRowHeight="15.75" x14ac:dyDescent="0.25"/>
  <cols>
    <col min="1" max="1" width="5" style="97" customWidth="1"/>
    <col min="2" max="2" width="30.5703125" style="6" customWidth="1"/>
    <col min="3" max="3" width="9.85546875" style="125" customWidth="1"/>
    <col min="4" max="4" width="11.5703125" style="7" customWidth="1"/>
    <col min="5" max="5" width="11.140625" style="7" customWidth="1"/>
    <col min="6" max="6" width="5.28515625" style="97" customWidth="1"/>
    <col min="7" max="7" width="35.5703125" style="6" customWidth="1"/>
    <col min="8" max="8" width="10.140625" style="6" customWidth="1"/>
    <col min="9" max="10" width="10.5703125" style="6" customWidth="1"/>
    <col min="11" max="11" width="15.5703125" style="6" customWidth="1"/>
  </cols>
  <sheetData>
    <row r="1" spans="1:11" x14ac:dyDescent="0.25">
      <c r="A1" s="135" t="s">
        <v>6110</v>
      </c>
      <c r="B1" s="135"/>
      <c r="C1" s="135"/>
      <c r="D1" s="135"/>
      <c r="E1" s="135"/>
      <c r="F1" s="145" t="s">
        <v>6109</v>
      </c>
      <c r="G1" s="145" t="s">
        <v>8</v>
      </c>
      <c r="H1" s="145" t="s">
        <v>6112</v>
      </c>
      <c r="I1" s="135" t="s">
        <v>6113</v>
      </c>
      <c r="J1" s="135"/>
      <c r="K1" s="62"/>
    </row>
    <row r="2" spans="1:11" ht="36" customHeight="1" x14ac:dyDescent="0.25">
      <c r="A2" s="88" t="s">
        <v>6111</v>
      </c>
      <c r="B2" s="88" t="s">
        <v>3</v>
      </c>
      <c r="C2" s="88" t="s">
        <v>4</v>
      </c>
      <c r="D2" s="14" t="s">
        <v>5</v>
      </c>
      <c r="E2" s="14" t="s">
        <v>6</v>
      </c>
      <c r="F2" s="145"/>
      <c r="G2" s="145"/>
      <c r="H2" s="145"/>
      <c r="I2" s="88" t="s">
        <v>9</v>
      </c>
      <c r="J2" s="88" t="s">
        <v>10</v>
      </c>
      <c r="K2" s="88" t="s">
        <v>1</v>
      </c>
    </row>
    <row r="3" spans="1:11" x14ac:dyDescent="0.25">
      <c r="A3" s="154" t="s">
        <v>11</v>
      </c>
      <c r="B3" s="154"/>
      <c r="C3" s="154"/>
      <c r="D3" s="154"/>
      <c r="E3" s="154"/>
      <c r="F3" s="154"/>
      <c r="G3" s="154"/>
      <c r="H3" s="154"/>
      <c r="I3" s="154"/>
      <c r="J3" s="154"/>
      <c r="K3" s="154"/>
    </row>
    <row r="4" spans="1:11" ht="15.75" customHeight="1" x14ac:dyDescent="0.25">
      <c r="A4" s="146" t="s">
        <v>4778</v>
      </c>
      <c r="B4" s="146"/>
      <c r="C4" s="146"/>
      <c r="D4" s="146"/>
      <c r="E4" s="146"/>
      <c r="F4" s="146"/>
      <c r="G4" s="146"/>
      <c r="H4" s="146"/>
      <c r="I4" s="146"/>
      <c r="J4" s="146"/>
      <c r="K4" s="146"/>
    </row>
    <row r="5" spans="1:11" ht="35.65" customHeight="1" x14ac:dyDescent="0.25">
      <c r="A5" s="88">
        <v>108</v>
      </c>
      <c r="B5" s="89" t="s">
        <v>12</v>
      </c>
      <c r="C5" s="25" t="s">
        <v>2</v>
      </c>
      <c r="D5" s="95">
        <v>4109000</v>
      </c>
      <c r="E5" s="95"/>
      <c r="F5" s="88">
        <v>4</v>
      </c>
      <c r="G5" s="89" t="s">
        <v>52</v>
      </c>
      <c r="H5" s="89"/>
      <c r="I5" s="89" t="s">
        <v>4696</v>
      </c>
      <c r="J5" s="89"/>
      <c r="K5" s="89" t="str">
        <f>"　"</f>
        <v>　</v>
      </c>
    </row>
    <row r="6" spans="1:11" ht="42.75" x14ac:dyDescent="0.25">
      <c r="A6" s="88">
        <v>108</v>
      </c>
      <c r="B6" s="89" t="s">
        <v>4697</v>
      </c>
      <c r="C6" s="25" t="s">
        <v>2</v>
      </c>
      <c r="D6" s="95"/>
      <c r="E6" s="95">
        <v>11968</v>
      </c>
      <c r="F6" s="88">
        <v>4</v>
      </c>
      <c r="G6" s="89" t="s">
        <v>4698</v>
      </c>
      <c r="H6" s="89" t="s">
        <v>1877</v>
      </c>
      <c r="I6" s="89" t="s">
        <v>4699</v>
      </c>
      <c r="J6" s="89" t="s">
        <v>72</v>
      </c>
      <c r="K6" s="89" t="str">
        <f>"00048524"</f>
        <v>00048524</v>
      </c>
    </row>
    <row r="7" spans="1:11" ht="71.25" x14ac:dyDescent="0.25">
      <c r="A7" s="88">
        <v>108</v>
      </c>
      <c r="B7" s="89" t="s">
        <v>4700</v>
      </c>
      <c r="C7" s="25" t="s">
        <v>2</v>
      </c>
      <c r="D7" s="95"/>
      <c r="E7" s="95">
        <v>74275</v>
      </c>
      <c r="F7" s="88">
        <v>4</v>
      </c>
      <c r="G7" s="89" t="s">
        <v>4701</v>
      </c>
      <c r="H7" s="89" t="s">
        <v>3958</v>
      </c>
      <c r="I7" s="89" t="s">
        <v>4702</v>
      </c>
      <c r="J7" s="89" t="s">
        <v>4703</v>
      </c>
      <c r="K7" s="89" t="str">
        <f>"00049683"</f>
        <v>00049683</v>
      </c>
    </row>
    <row r="8" spans="1:11" ht="42.75" x14ac:dyDescent="0.25">
      <c r="A8" s="88">
        <v>108</v>
      </c>
      <c r="B8" s="89" t="s">
        <v>1493</v>
      </c>
      <c r="C8" s="25" t="s">
        <v>2</v>
      </c>
      <c r="D8" s="95"/>
      <c r="E8" s="95">
        <v>12599</v>
      </c>
      <c r="F8" s="88">
        <v>4</v>
      </c>
      <c r="G8" s="89" t="s">
        <v>4704</v>
      </c>
      <c r="H8" s="89" t="s">
        <v>4705</v>
      </c>
      <c r="I8" s="89" t="s">
        <v>4706</v>
      </c>
      <c r="J8" s="89" t="s">
        <v>4174</v>
      </c>
      <c r="K8" s="89" t="str">
        <f>"00049918"</f>
        <v>00049918</v>
      </c>
    </row>
    <row r="9" spans="1:11" ht="57" x14ac:dyDescent="0.25">
      <c r="A9" s="88">
        <v>108</v>
      </c>
      <c r="B9" s="89" t="s">
        <v>4707</v>
      </c>
      <c r="C9" s="25" t="s">
        <v>2</v>
      </c>
      <c r="D9" s="95"/>
      <c r="E9" s="95">
        <v>22543</v>
      </c>
      <c r="F9" s="88">
        <v>4</v>
      </c>
      <c r="G9" s="89" t="s">
        <v>4708</v>
      </c>
      <c r="H9" s="89" t="s">
        <v>2160</v>
      </c>
      <c r="I9" s="89" t="s">
        <v>4709</v>
      </c>
      <c r="J9" s="89" t="s">
        <v>4710</v>
      </c>
      <c r="K9" s="89" t="str">
        <f>"00051305"</f>
        <v>00051305</v>
      </c>
    </row>
    <row r="10" spans="1:11" ht="71.25" x14ac:dyDescent="0.25">
      <c r="A10" s="88">
        <v>108</v>
      </c>
      <c r="B10" s="89" t="s">
        <v>4697</v>
      </c>
      <c r="C10" s="25" t="s">
        <v>2</v>
      </c>
      <c r="D10" s="95"/>
      <c r="E10" s="95">
        <v>58342</v>
      </c>
      <c r="F10" s="88">
        <v>4</v>
      </c>
      <c r="G10" s="89" t="s">
        <v>4711</v>
      </c>
      <c r="H10" s="89" t="s">
        <v>4712</v>
      </c>
      <c r="I10" s="89" t="s">
        <v>4713</v>
      </c>
      <c r="J10" s="89" t="s">
        <v>4714</v>
      </c>
      <c r="K10" s="89" t="str">
        <f>"00049133"</f>
        <v>00049133</v>
      </c>
    </row>
    <row r="11" spans="1:11" ht="42.75" x14ac:dyDescent="0.25">
      <c r="A11" s="88">
        <v>108</v>
      </c>
      <c r="B11" s="89" t="s">
        <v>4744</v>
      </c>
      <c r="C11" s="25" t="s">
        <v>2</v>
      </c>
      <c r="D11" s="95"/>
      <c r="E11" s="95">
        <v>148</v>
      </c>
      <c r="F11" s="88">
        <v>4</v>
      </c>
      <c r="G11" s="89" t="s">
        <v>4745</v>
      </c>
      <c r="H11" s="89" t="s">
        <v>1436</v>
      </c>
      <c r="I11" s="89" t="s">
        <v>71</v>
      </c>
      <c r="J11" s="89" t="s">
        <v>4746</v>
      </c>
      <c r="K11" s="89" t="str">
        <f>"00049131"</f>
        <v>00049131</v>
      </c>
    </row>
    <row r="12" spans="1:11" ht="42.75" x14ac:dyDescent="0.25">
      <c r="A12" s="88">
        <v>108</v>
      </c>
      <c r="B12" s="89" t="s">
        <v>4551</v>
      </c>
      <c r="C12" s="25" t="s">
        <v>2</v>
      </c>
      <c r="D12" s="95"/>
      <c r="E12" s="95">
        <v>140</v>
      </c>
      <c r="F12" s="88">
        <v>4</v>
      </c>
      <c r="G12" s="89" t="s">
        <v>4747</v>
      </c>
      <c r="H12" s="89" t="s">
        <v>2531</v>
      </c>
      <c r="I12" s="89" t="s">
        <v>71</v>
      </c>
      <c r="J12" s="89" t="s">
        <v>4282</v>
      </c>
      <c r="K12" s="89" t="str">
        <f>"00049817"</f>
        <v>00049817</v>
      </c>
    </row>
    <row r="13" spans="1:11" ht="22.5" customHeight="1" x14ac:dyDescent="0.25">
      <c r="A13" s="152" t="s">
        <v>4779</v>
      </c>
      <c r="B13" s="153"/>
      <c r="C13" s="153"/>
      <c r="D13" s="153"/>
      <c r="E13" s="95">
        <f>SUM(E5:E12)</f>
        <v>180015</v>
      </c>
      <c r="F13" s="145"/>
      <c r="G13" s="145"/>
      <c r="H13" s="145"/>
      <c r="I13" s="145"/>
      <c r="J13" s="145"/>
      <c r="K13" s="145"/>
    </row>
    <row r="14" spans="1:11" ht="21.75" customHeight="1" x14ac:dyDescent="0.25">
      <c r="A14" s="146" t="s">
        <v>5488</v>
      </c>
      <c r="B14" s="146"/>
      <c r="C14" s="146"/>
      <c r="D14" s="146"/>
      <c r="E14" s="146"/>
      <c r="F14" s="146"/>
      <c r="G14" s="146"/>
      <c r="H14" s="146"/>
      <c r="I14" s="146"/>
      <c r="J14" s="146"/>
      <c r="K14" s="146"/>
    </row>
    <row r="15" spans="1:11" ht="28.5" x14ac:dyDescent="0.25">
      <c r="A15" s="88">
        <v>108</v>
      </c>
      <c r="B15" s="89" t="s">
        <v>12</v>
      </c>
      <c r="C15" s="25" t="s">
        <v>2</v>
      </c>
      <c r="D15" s="94">
        <v>4109000</v>
      </c>
      <c r="E15" s="89"/>
      <c r="F15" s="88">
        <v>4</v>
      </c>
      <c r="G15" s="89" t="s">
        <v>52</v>
      </c>
      <c r="H15" s="89"/>
      <c r="I15" s="89" t="s">
        <v>4696</v>
      </c>
      <c r="J15" s="89"/>
      <c r="K15" s="89" t="str">
        <f>"　"</f>
        <v>　</v>
      </c>
    </row>
    <row r="16" spans="1:11" ht="85.5" x14ac:dyDescent="0.25">
      <c r="A16" s="88">
        <v>108</v>
      </c>
      <c r="B16" s="89" t="s">
        <v>973</v>
      </c>
      <c r="C16" s="25" t="s">
        <v>2</v>
      </c>
      <c r="D16" s="89"/>
      <c r="E16" s="94">
        <v>55289</v>
      </c>
      <c r="F16" s="88">
        <v>4</v>
      </c>
      <c r="G16" s="89" t="s">
        <v>5489</v>
      </c>
      <c r="H16" s="89" t="s">
        <v>5490</v>
      </c>
      <c r="I16" s="89" t="s">
        <v>4721</v>
      </c>
      <c r="J16" s="89" t="s">
        <v>4282</v>
      </c>
      <c r="K16" s="25" t="s">
        <v>6114</v>
      </c>
    </row>
    <row r="17" spans="1:11" ht="57" x14ac:dyDescent="0.25">
      <c r="A17" s="88">
        <v>108</v>
      </c>
      <c r="B17" s="89" t="s">
        <v>1656</v>
      </c>
      <c r="C17" s="25" t="s">
        <v>2</v>
      </c>
      <c r="D17" s="89"/>
      <c r="E17" s="94">
        <v>80677</v>
      </c>
      <c r="F17" s="88">
        <v>4</v>
      </c>
      <c r="G17" s="89" t="s">
        <v>5491</v>
      </c>
      <c r="H17" s="89" t="s">
        <v>5492</v>
      </c>
      <c r="I17" s="89" t="s">
        <v>4721</v>
      </c>
      <c r="J17" s="89" t="s">
        <v>4282</v>
      </c>
      <c r="K17" s="89" t="s">
        <v>6115</v>
      </c>
    </row>
    <row r="18" spans="1:11" ht="57" x14ac:dyDescent="0.25">
      <c r="A18" s="88">
        <v>108</v>
      </c>
      <c r="B18" s="89" t="s">
        <v>5493</v>
      </c>
      <c r="C18" s="25" t="s">
        <v>2</v>
      </c>
      <c r="D18" s="89"/>
      <c r="E18" s="94">
        <v>34258</v>
      </c>
      <c r="F18" s="88">
        <v>4</v>
      </c>
      <c r="G18" s="89" t="s">
        <v>5494</v>
      </c>
      <c r="H18" s="89" t="s">
        <v>5495</v>
      </c>
      <c r="I18" s="89" t="s">
        <v>4709</v>
      </c>
      <c r="J18" s="89" t="s">
        <v>5496</v>
      </c>
      <c r="K18" s="89" t="s">
        <v>6116</v>
      </c>
    </row>
    <row r="19" spans="1:11" ht="42.75" x14ac:dyDescent="0.25">
      <c r="A19" s="88">
        <v>108</v>
      </c>
      <c r="B19" s="89" t="s">
        <v>1617</v>
      </c>
      <c r="C19" s="25" t="s">
        <v>2</v>
      </c>
      <c r="D19" s="89"/>
      <c r="E19" s="94">
        <v>33230</v>
      </c>
      <c r="F19" s="88">
        <v>4</v>
      </c>
      <c r="G19" s="89" t="s">
        <v>5497</v>
      </c>
      <c r="H19" s="89" t="s">
        <v>5498</v>
      </c>
      <c r="I19" s="89" t="s">
        <v>4727</v>
      </c>
      <c r="J19" s="89" t="s">
        <v>4728</v>
      </c>
      <c r="K19" s="89" t="s">
        <v>6728</v>
      </c>
    </row>
    <row r="20" spans="1:11" ht="42.75" x14ac:dyDescent="0.25">
      <c r="A20" s="88">
        <v>108</v>
      </c>
      <c r="B20" s="89" t="s">
        <v>103</v>
      </c>
      <c r="C20" s="25" t="s">
        <v>2</v>
      </c>
      <c r="D20" s="89"/>
      <c r="E20" s="94">
        <v>50877</v>
      </c>
      <c r="F20" s="88">
        <v>4</v>
      </c>
      <c r="G20" s="89" t="s">
        <v>5499</v>
      </c>
      <c r="H20" s="89" t="s">
        <v>3211</v>
      </c>
      <c r="I20" s="89" t="s">
        <v>5500</v>
      </c>
      <c r="J20" s="89" t="s">
        <v>5253</v>
      </c>
      <c r="K20" s="89" t="s">
        <v>6729</v>
      </c>
    </row>
    <row r="21" spans="1:11" ht="42.75" x14ac:dyDescent="0.25">
      <c r="A21" s="88">
        <v>108</v>
      </c>
      <c r="B21" s="89" t="s">
        <v>103</v>
      </c>
      <c r="C21" s="25" t="s">
        <v>2</v>
      </c>
      <c r="D21" s="89"/>
      <c r="E21" s="94">
        <v>50161</v>
      </c>
      <c r="F21" s="88">
        <v>4</v>
      </c>
      <c r="G21" s="89" t="s">
        <v>5499</v>
      </c>
      <c r="H21" s="89" t="s">
        <v>3211</v>
      </c>
      <c r="I21" s="89" t="s">
        <v>5500</v>
      </c>
      <c r="J21" s="89" t="s">
        <v>5253</v>
      </c>
      <c r="K21" s="89" t="s">
        <v>6266</v>
      </c>
    </row>
    <row r="22" spans="1:11" ht="42.75" x14ac:dyDescent="0.25">
      <c r="A22" s="88">
        <v>108</v>
      </c>
      <c r="B22" s="89" t="s">
        <v>3508</v>
      </c>
      <c r="C22" s="25" t="s">
        <v>2</v>
      </c>
      <c r="D22" s="89"/>
      <c r="E22" s="94">
        <v>23253</v>
      </c>
      <c r="F22" s="88">
        <v>4</v>
      </c>
      <c r="G22" s="89" t="s">
        <v>5501</v>
      </c>
      <c r="H22" s="89" t="s">
        <v>5502</v>
      </c>
      <c r="I22" s="89" t="s">
        <v>4722</v>
      </c>
      <c r="J22" s="89" t="s">
        <v>76</v>
      </c>
      <c r="K22" s="89" t="s">
        <v>6117</v>
      </c>
    </row>
    <row r="23" spans="1:11" ht="42.75" x14ac:dyDescent="0.25">
      <c r="A23" s="88">
        <v>108</v>
      </c>
      <c r="B23" s="89" t="s">
        <v>103</v>
      </c>
      <c r="C23" s="25" t="s">
        <v>2</v>
      </c>
      <c r="D23" s="89"/>
      <c r="E23" s="94">
        <v>42894</v>
      </c>
      <c r="F23" s="88">
        <v>4</v>
      </c>
      <c r="G23" s="89" t="s">
        <v>5503</v>
      </c>
      <c r="H23" s="89" t="s">
        <v>2083</v>
      </c>
      <c r="I23" s="89" t="s">
        <v>4822</v>
      </c>
      <c r="J23" s="89" t="s">
        <v>4823</v>
      </c>
      <c r="K23" s="89" t="s">
        <v>6118</v>
      </c>
    </row>
    <row r="24" spans="1:11" ht="62.25" customHeight="1" x14ac:dyDescent="0.25">
      <c r="A24" s="88">
        <v>108</v>
      </c>
      <c r="B24" s="89" t="s">
        <v>5504</v>
      </c>
      <c r="C24" s="25" t="s">
        <v>2</v>
      </c>
      <c r="D24" s="89"/>
      <c r="E24" s="94">
        <v>54275</v>
      </c>
      <c r="F24" s="88">
        <v>4</v>
      </c>
      <c r="G24" s="89" t="s">
        <v>5505</v>
      </c>
      <c r="H24" s="89" t="s">
        <v>3211</v>
      </c>
      <c r="I24" s="89" t="s">
        <v>5252</v>
      </c>
      <c r="J24" s="89" t="s">
        <v>5506</v>
      </c>
      <c r="K24" s="89" t="s">
        <v>6119</v>
      </c>
    </row>
    <row r="25" spans="1:11" ht="77.25" customHeight="1" x14ac:dyDescent="0.25">
      <c r="A25" s="47">
        <v>108</v>
      </c>
      <c r="B25" s="48" t="s">
        <v>5507</v>
      </c>
      <c r="C25" s="121" t="s">
        <v>2</v>
      </c>
      <c r="D25" s="48"/>
      <c r="E25" s="49">
        <v>35743</v>
      </c>
      <c r="F25" s="47">
        <v>4</v>
      </c>
      <c r="G25" s="48" t="s">
        <v>5508</v>
      </c>
      <c r="H25" s="48" t="s">
        <v>5509</v>
      </c>
      <c r="I25" s="48" t="s">
        <v>5555</v>
      </c>
      <c r="J25" s="48" t="s">
        <v>5253</v>
      </c>
      <c r="K25" s="48" t="s">
        <v>6120</v>
      </c>
    </row>
    <row r="26" spans="1:11" ht="71.25" x14ac:dyDescent="0.25">
      <c r="A26" s="47">
        <v>108</v>
      </c>
      <c r="B26" s="48" t="s">
        <v>5510</v>
      </c>
      <c r="C26" s="121" t="s">
        <v>2</v>
      </c>
      <c r="D26" s="48"/>
      <c r="E26" s="49">
        <v>19400</v>
      </c>
      <c r="F26" s="47">
        <v>4</v>
      </c>
      <c r="G26" s="48" t="s">
        <v>5556</v>
      </c>
      <c r="H26" s="48" t="s">
        <v>5511</v>
      </c>
      <c r="I26" s="48" t="s">
        <v>71</v>
      </c>
      <c r="J26" s="48" t="s">
        <v>5253</v>
      </c>
      <c r="K26" s="48" t="s">
        <v>6121</v>
      </c>
    </row>
    <row r="27" spans="1:11" ht="71.25" x14ac:dyDescent="0.25">
      <c r="A27" s="47">
        <v>108</v>
      </c>
      <c r="B27" s="48" t="s">
        <v>5510</v>
      </c>
      <c r="C27" s="121" t="s">
        <v>2</v>
      </c>
      <c r="D27" s="48"/>
      <c r="E27" s="49">
        <v>9673</v>
      </c>
      <c r="F27" s="47">
        <v>4</v>
      </c>
      <c r="G27" s="48" t="s">
        <v>5557</v>
      </c>
      <c r="H27" s="48" t="s">
        <v>5512</v>
      </c>
      <c r="I27" s="48" t="s">
        <v>5558</v>
      </c>
      <c r="J27" s="48" t="s">
        <v>5253</v>
      </c>
      <c r="K27" s="48" t="s">
        <v>6122</v>
      </c>
    </row>
    <row r="28" spans="1:11" ht="42.75" x14ac:dyDescent="0.25">
      <c r="A28" s="88">
        <v>108</v>
      </c>
      <c r="B28" s="89" t="s">
        <v>5510</v>
      </c>
      <c r="C28" s="25" t="s">
        <v>2</v>
      </c>
      <c r="D28" s="89"/>
      <c r="E28" s="94">
        <v>13300</v>
      </c>
      <c r="F28" s="88">
        <v>4</v>
      </c>
      <c r="G28" s="89" t="s">
        <v>5513</v>
      </c>
      <c r="H28" s="89" t="s">
        <v>3211</v>
      </c>
      <c r="I28" s="89" t="s">
        <v>5500</v>
      </c>
      <c r="J28" s="89" t="s">
        <v>5253</v>
      </c>
      <c r="K28" s="89" t="s">
        <v>6267</v>
      </c>
    </row>
    <row r="29" spans="1:11" ht="42.75" x14ac:dyDescent="0.25">
      <c r="A29" s="88">
        <v>108</v>
      </c>
      <c r="B29" s="89" t="s">
        <v>5510</v>
      </c>
      <c r="C29" s="25" t="s">
        <v>2</v>
      </c>
      <c r="D29" s="89"/>
      <c r="E29" s="94">
        <v>16000</v>
      </c>
      <c r="F29" s="88">
        <v>4</v>
      </c>
      <c r="G29" s="89" t="s">
        <v>5514</v>
      </c>
      <c r="H29" s="89" t="s">
        <v>3211</v>
      </c>
      <c r="I29" s="89" t="s">
        <v>5500</v>
      </c>
      <c r="J29" s="89" t="s">
        <v>5253</v>
      </c>
      <c r="K29" s="89" t="s">
        <v>6268</v>
      </c>
    </row>
    <row r="30" spans="1:11" ht="42.75" x14ac:dyDescent="0.25">
      <c r="A30" s="88">
        <v>108</v>
      </c>
      <c r="B30" s="89" t="s">
        <v>5510</v>
      </c>
      <c r="C30" s="25" t="s">
        <v>2</v>
      </c>
      <c r="D30" s="89"/>
      <c r="E30" s="94">
        <v>13000</v>
      </c>
      <c r="F30" s="88">
        <v>4</v>
      </c>
      <c r="G30" s="89" t="s">
        <v>5513</v>
      </c>
      <c r="H30" s="89" t="s">
        <v>5251</v>
      </c>
      <c r="I30" s="89" t="s">
        <v>5500</v>
      </c>
      <c r="J30" s="89" t="s">
        <v>5253</v>
      </c>
      <c r="K30" s="89" t="s">
        <v>6269</v>
      </c>
    </row>
    <row r="31" spans="1:11" ht="42.75" x14ac:dyDescent="0.25">
      <c r="A31" s="88">
        <v>108</v>
      </c>
      <c r="B31" s="89" t="s">
        <v>5510</v>
      </c>
      <c r="C31" s="25" t="s">
        <v>2</v>
      </c>
      <c r="D31" s="89"/>
      <c r="E31" s="94">
        <v>13400</v>
      </c>
      <c r="F31" s="88">
        <v>4</v>
      </c>
      <c r="G31" s="89" t="s">
        <v>5515</v>
      </c>
      <c r="H31" s="89" t="s">
        <v>3211</v>
      </c>
      <c r="I31" s="89" t="s">
        <v>5500</v>
      </c>
      <c r="J31" s="89" t="s">
        <v>5253</v>
      </c>
      <c r="K31" s="89" t="s">
        <v>6257</v>
      </c>
    </row>
    <row r="32" spans="1:11" ht="42.75" x14ac:dyDescent="0.25">
      <c r="A32" s="88">
        <v>108</v>
      </c>
      <c r="B32" s="89" t="s">
        <v>5510</v>
      </c>
      <c r="C32" s="25" t="s">
        <v>2</v>
      </c>
      <c r="D32" s="89"/>
      <c r="E32" s="94">
        <v>16000</v>
      </c>
      <c r="F32" s="88">
        <v>4</v>
      </c>
      <c r="G32" s="89" t="s">
        <v>5513</v>
      </c>
      <c r="H32" s="89" t="s">
        <v>5251</v>
      </c>
      <c r="I32" s="89" t="s">
        <v>5500</v>
      </c>
      <c r="J32" s="89" t="s">
        <v>5253</v>
      </c>
      <c r="K32" s="89" t="s">
        <v>6157</v>
      </c>
    </row>
    <row r="33" spans="1:11" ht="42.75" x14ac:dyDescent="0.25">
      <c r="A33" s="88">
        <v>108</v>
      </c>
      <c r="B33" s="89" t="s">
        <v>5510</v>
      </c>
      <c r="C33" s="25" t="s">
        <v>2</v>
      </c>
      <c r="D33" s="89"/>
      <c r="E33" s="94">
        <v>12775</v>
      </c>
      <c r="F33" s="88">
        <v>4</v>
      </c>
      <c r="G33" s="89" t="s">
        <v>5516</v>
      </c>
      <c r="H33" s="89" t="s">
        <v>3211</v>
      </c>
      <c r="I33" s="89" t="s">
        <v>5500</v>
      </c>
      <c r="J33" s="89" t="s">
        <v>5253</v>
      </c>
      <c r="K33" s="89" t="s">
        <v>6123</v>
      </c>
    </row>
    <row r="34" spans="1:11" ht="42.75" x14ac:dyDescent="0.25">
      <c r="A34" s="88">
        <v>108</v>
      </c>
      <c r="B34" s="89" t="s">
        <v>5510</v>
      </c>
      <c r="C34" s="25" t="s">
        <v>2</v>
      </c>
      <c r="D34" s="89"/>
      <c r="E34" s="94">
        <v>12500</v>
      </c>
      <c r="F34" s="88">
        <v>4</v>
      </c>
      <c r="G34" s="89" t="s">
        <v>5513</v>
      </c>
      <c r="H34" s="89" t="s">
        <v>5517</v>
      </c>
      <c r="I34" s="89" t="s">
        <v>5500</v>
      </c>
      <c r="J34" s="89" t="s">
        <v>5253</v>
      </c>
      <c r="K34" s="89" t="s">
        <v>6124</v>
      </c>
    </row>
    <row r="35" spans="1:11" ht="42.75" x14ac:dyDescent="0.25">
      <c r="A35" s="88">
        <v>108</v>
      </c>
      <c r="B35" s="89" t="s">
        <v>5510</v>
      </c>
      <c r="C35" s="25" t="s">
        <v>2</v>
      </c>
      <c r="D35" s="89"/>
      <c r="E35" s="94">
        <v>16900</v>
      </c>
      <c r="F35" s="88">
        <v>4</v>
      </c>
      <c r="G35" s="89" t="s">
        <v>5513</v>
      </c>
      <c r="H35" s="89" t="s">
        <v>3589</v>
      </c>
      <c r="I35" s="89" t="s">
        <v>5500</v>
      </c>
      <c r="J35" s="89" t="s">
        <v>5253</v>
      </c>
      <c r="K35" s="89" t="s">
        <v>6125</v>
      </c>
    </row>
    <row r="36" spans="1:11" ht="42.75" x14ac:dyDescent="0.25">
      <c r="A36" s="88">
        <v>108</v>
      </c>
      <c r="B36" s="89" t="s">
        <v>5510</v>
      </c>
      <c r="C36" s="25" t="s">
        <v>2</v>
      </c>
      <c r="D36" s="89"/>
      <c r="E36" s="94">
        <v>87056</v>
      </c>
      <c r="F36" s="88">
        <v>4</v>
      </c>
      <c r="G36" s="89" t="s">
        <v>5518</v>
      </c>
      <c r="H36" s="89" t="s">
        <v>3211</v>
      </c>
      <c r="I36" s="89" t="s">
        <v>5252</v>
      </c>
      <c r="J36" s="89" t="s">
        <v>5506</v>
      </c>
      <c r="K36" s="89" t="s">
        <v>6126</v>
      </c>
    </row>
    <row r="37" spans="1:11" ht="42.75" x14ac:dyDescent="0.25">
      <c r="A37" s="88">
        <v>108</v>
      </c>
      <c r="B37" s="89" t="s">
        <v>5510</v>
      </c>
      <c r="C37" s="25" t="s">
        <v>2</v>
      </c>
      <c r="D37" s="89"/>
      <c r="E37" s="94">
        <v>13534</v>
      </c>
      <c r="F37" s="88">
        <v>4</v>
      </c>
      <c r="G37" s="89" t="s">
        <v>5513</v>
      </c>
      <c r="H37" s="89" t="s">
        <v>3589</v>
      </c>
      <c r="I37" s="89" t="s">
        <v>5500</v>
      </c>
      <c r="J37" s="89" t="s">
        <v>5253</v>
      </c>
      <c r="K37" s="89" t="s">
        <v>6730</v>
      </c>
    </row>
    <row r="38" spans="1:11" ht="42.75" x14ac:dyDescent="0.25">
      <c r="A38" s="88">
        <v>108</v>
      </c>
      <c r="B38" s="89" t="s">
        <v>5510</v>
      </c>
      <c r="C38" s="25" t="s">
        <v>2</v>
      </c>
      <c r="D38" s="89"/>
      <c r="E38" s="94">
        <v>17800</v>
      </c>
      <c r="F38" s="88">
        <v>4</v>
      </c>
      <c r="G38" s="89" t="s">
        <v>5513</v>
      </c>
      <c r="H38" s="89" t="s">
        <v>3211</v>
      </c>
      <c r="I38" s="89" t="s">
        <v>5500</v>
      </c>
      <c r="J38" s="89" t="s">
        <v>5253</v>
      </c>
      <c r="K38" s="89" t="s">
        <v>6731</v>
      </c>
    </row>
    <row r="39" spans="1:11" ht="42.75" x14ac:dyDescent="0.25">
      <c r="A39" s="88">
        <v>108</v>
      </c>
      <c r="B39" s="89" t="s">
        <v>5510</v>
      </c>
      <c r="C39" s="25" t="s">
        <v>2</v>
      </c>
      <c r="D39" s="89"/>
      <c r="E39" s="94">
        <v>15939</v>
      </c>
      <c r="F39" s="88">
        <v>4</v>
      </c>
      <c r="G39" s="89" t="s">
        <v>5513</v>
      </c>
      <c r="H39" s="89" t="s">
        <v>3211</v>
      </c>
      <c r="I39" s="89" t="s">
        <v>5500</v>
      </c>
      <c r="J39" s="89" t="s">
        <v>5253</v>
      </c>
      <c r="K39" s="89" t="s">
        <v>6732</v>
      </c>
    </row>
    <row r="40" spans="1:11" ht="42.75" x14ac:dyDescent="0.25">
      <c r="A40" s="88">
        <v>108</v>
      </c>
      <c r="B40" s="89" t="s">
        <v>5510</v>
      </c>
      <c r="C40" s="25" t="s">
        <v>2</v>
      </c>
      <c r="D40" s="89"/>
      <c r="E40" s="94">
        <v>12600</v>
      </c>
      <c r="F40" s="88">
        <v>4</v>
      </c>
      <c r="G40" s="89" t="s">
        <v>5513</v>
      </c>
      <c r="H40" s="89" t="s">
        <v>5517</v>
      </c>
      <c r="I40" s="89" t="s">
        <v>5500</v>
      </c>
      <c r="J40" s="89" t="s">
        <v>5253</v>
      </c>
      <c r="K40" s="67" t="s">
        <v>6258</v>
      </c>
    </row>
    <row r="41" spans="1:11" ht="28.5" x14ac:dyDescent="0.25">
      <c r="A41" s="88">
        <v>108</v>
      </c>
      <c r="B41" s="89" t="s">
        <v>12</v>
      </c>
      <c r="C41" s="25" t="s">
        <v>2</v>
      </c>
      <c r="D41" s="94">
        <v>177000</v>
      </c>
      <c r="E41" s="89"/>
      <c r="F41" s="88">
        <v>4</v>
      </c>
      <c r="G41" s="89" t="s">
        <v>6494</v>
      </c>
      <c r="H41" s="89"/>
      <c r="I41" s="89" t="s">
        <v>4696</v>
      </c>
      <c r="J41" s="89"/>
      <c r="K41" s="89" t="str">
        <f>"　"</f>
        <v>　</v>
      </c>
    </row>
    <row r="42" spans="1:11" ht="42.75" x14ac:dyDescent="0.25">
      <c r="A42" s="88">
        <v>108</v>
      </c>
      <c r="B42" s="89" t="s">
        <v>12</v>
      </c>
      <c r="C42" s="25" t="s">
        <v>2</v>
      </c>
      <c r="D42" s="89"/>
      <c r="E42" s="94">
        <v>1600</v>
      </c>
      <c r="F42" s="88">
        <v>4</v>
      </c>
      <c r="G42" s="89" t="s">
        <v>5519</v>
      </c>
      <c r="H42" s="89" t="s">
        <v>5520</v>
      </c>
      <c r="I42" s="89" t="s">
        <v>4921</v>
      </c>
      <c r="J42" s="89" t="s">
        <v>5521</v>
      </c>
      <c r="K42" s="89" t="s">
        <v>6127</v>
      </c>
    </row>
    <row r="43" spans="1:11" ht="85.5" x14ac:dyDescent="0.25">
      <c r="A43" s="88">
        <v>108</v>
      </c>
      <c r="B43" s="89" t="s">
        <v>4176</v>
      </c>
      <c r="C43" s="25" t="s">
        <v>2</v>
      </c>
      <c r="D43" s="89"/>
      <c r="E43" s="94">
        <v>44077</v>
      </c>
      <c r="F43" s="88">
        <v>4</v>
      </c>
      <c r="G43" s="89" t="s">
        <v>6493</v>
      </c>
      <c r="H43" s="89" t="s">
        <v>5522</v>
      </c>
      <c r="I43" s="89" t="s">
        <v>71</v>
      </c>
      <c r="J43" s="89" t="s">
        <v>4174</v>
      </c>
      <c r="K43" s="89" t="str">
        <f>"00051975"</f>
        <v>00051975</v>
      </c>
    </row>
    <row r="44" spans="1:11" ht="71.25" x14ac:dyDescent="0.25">
      <c r="A44" s="47">
        <v>108</v>
      </c>
      <c r="B44" s="48" t="s">
        <v>5559</v>
      </c>
      <c r="C44" s="121" t="s">
        <v>2</v>
      </c>
      <c r="D44" s="48"/>
      <c r="E44" s="49">
        <v>37033</v>
      </c>
      <c r="F44" s="47">
        <v>4</v>
      </c>
      <c r="G44" s="48" t="s">
        <v>5560</v>
      </c>
      <c r="H44" s="48" t="s">
        <v>5523</v>
      </c>
      <c r="I44" s="48" t="s">
        <v>5555</v>
      </c>
      <c r="J44" s="48" t="s">
        <v>5524</v>
      </c>
      <c r="K44" s="48" t="str">
        <f>"00048998"</f>
        <v>00048998</v>
      </c>
    </row>
    <row r="45" spans="1:11" x14ac:dyDescent="0.25">
      <c r="A45" s="166" t="s">
        <v>6128</v>
      </c>
      <c r="B45" s="153"/>
      <c r="C45" s="153"/>
      <c r="D45" s="153"/>
      <c r="E45" s="49">
        <f>SUM(E15:E44)</f>
        <v>833244</v>
      </c>
      <c r="F45" s="47"/>
      <c r="G45" s="48"/>
      <c r="H45" s="48"/>
      <c r="I45" s="48"/>
      <c r="J45" s="48"/>
      <c r="K45" s="48"/>
    </row>
    <row r="46" spans="1:11" x14ac:dyDescent="0.25">
      <c r="A46" s="152" t="s">
        <v>4811</v>
      </c>
      <c r="B46" s="149"/>
      <c r="C46" s="149"/>
      <c r="D46" s="149"/>
      <c r="E46" s="95"/>
      <c r="F46" s="88"/>
      <c r="G46" s="89"/>
      <c r="H46" s="89"/>
      <c r="I46" s="89"/>
      <c r="J46" s="89"/>
      <c r="K46" s="89"/>
    </row>
    <row r="47" spans="1:11" ht="28.5" x14ac:dyDescent="0.25">
      <c r="A47" s="88">
        <v>108</v>
      </c>
      <c r="B47" s="89" t="s">
        <v>12</v>
      </c>
      <c r="C47" s="25" t="s">
        <v>2</v>
      </c>
      <c r="D47" s="94">
        <v>4109000</v>
      </c>
      <c r="E47" s="89"/>
      <c r="F47" s="88">
        <v>4</v>
      </c>
      <c r="G47" s="89" t="s">
        <v>52</v>
      </c>
      <c r="H47" s="89"/>
      <c r="I47" s="89" t="s">
        <v>4696</v>
      </c>
      <c r="J47" s="89"/>
      <c r="K47" s="89" t="str">
        <f>"　"</f>
        <v>　</v>
      </c>
    </row>
    <row r="48" spans="1:11" ht="42.75" x14ac:dyDescent="0.25">
      <c r="A48" s="88">
        <v>108</v>
      </c>
      <c r="B48" s="89" t="s">
        <v>4807</v>
      </c>
      <c r="C48" s="25" t="s">
        <v>2</v>
      </c>
      <c r="D48" s="89"/>
      <c r="E48" s="94">
        <v>25000</v>
      </c>
      <c r="F48" s="88">
        <v>4</v>
      </c>
      <c r="G48" s="89" t="s">
        <v>4808</v>
      </c>
      <c r="H48" s="89" t="s">
        <v>1842</v>
      </c>
      <c r="I48" s="89" t="s">
        <v>4809</v>
      </c>
      <c r="J48" s="89" t="s">
        <v>4810</v>
      </c>
      <c r="K48" s="89" t="str">
        <f>"00048952"</f>
        <v>00048952</v>
      </c>
    </row>
    <row r="49" spans="1:11" ht="42.75" x14ac:dyDescent="0.25">
      <c r="A49" s="88">
        <v>108</v>
      </c>
      <c r="B49" s="89" t="s">
        <v>4812</v>
      </c>
      <c r="C49" s="25" t="s">
        <v>2</v>
      </c>
      <c r="D49" s="89"/>
      <c r="E49" s="94">
        <v>30000</v>
      </c>
      <c r="F49" s="88">
        <v>4</v>
      </c>
      <c r="G49" s="89" t="s">
        <v>4808</v>
      </c>
      <c r="H49" s="89" t="s">
        <v>1842</v>
      </c>
      <c r="I49" s="89" t="s">
        <v>71</v>
      </c>
      <c r="J49" s="89" t="s">
        <v>4810</v>
      </c>
      <c r="K49" s="89" t="str">
        <f>"00048952"</f>
        <v>00048952</v>
      </c>
    </row>
    <row r="50" spans="1:11" x14ac:dyDescent="0.25">
      <c r="A50" s="152" t="s">
        <v>6129</v>
      </c>
      <c r="B50" s="153"/>
      <c r="C50" s="153"/>
      <c r="D50" s="153"/>
      <c r="E50" s="94">
        <f>SUM(E48:E49)</f>
        <v>55000</v>
      </c>
      <c r="F50" s="88"/>
      <c r="G50" s="89"/>
      <c r="H50" s="89"/>
      <c r="I50" s="89"/>
      <c r="J50" s="89"/>
      <c r="K50" s="89"/>
    </row>
    <row r="51" spans="1:11" x14ac:dyDescent="0.25">
      <c r="A51" s="152" t="s">
        <v>4818</v>
      </c>
      <c r="B51" s="153"/>
      <c r="C51" s="153"/>
      <c r="D51" s="153"/>
      <c r="E51" s="94"/>
      <c r="F51" s="88"/>
      <c r="G51" s="89"/>
      <c r="H51" s="89"/>
      <c r="I51" s="89"/>
      <c r="J51" s="89"/>
      <c r="K51" s="89"/>
    </row>
    <row r="52" spans="1:11" ht="28.5" x14ac:dyDescent="0.25">
      <c r="A52" s="88">
        <v>108</v>
      </c>
      <c r="B52" s="89" t="s">
        <v>12</v>
      </c>
      <c r="C52" s="25" t="s">
        <v>2</v>
      </c>
      <c r="D52" s="94">
        <v>4109000</v>
      </c>
      <c r="E52" s="89"/>
      <c r="F52" s="88">
        <v>4</v>
      </c>
      <c r="G52" s="89" t="s">
        <v>52</v>
      </c>
      <c r="H52" s="89"/>
      <c r="I52" s="89" t="s">
        <v>4696</v>
      </c>
      <c r="J52" s="89"/>
      <c r="K52" s="89" t="str">
        <f>"　"</f>
        <v>　</v>
      </c>
    </row>
    <row r="53" spans="1:11" ht="42.75" x14ac:dyDescent="0.25">
      <c r="A53" s="88">
        <v>108</v>
      </c>
      <c r="B53" s="89" t="s">
        <v>2104</v>
      </c>
      <c r="C53" s="25" t="s">
        <v>2</v>
      </c>
      <c r="D53" s="89"/>
      <c r="E53" s="94">
        <v>18918</v>
      </c>
      <c r="F53" s="88">
        <v>4</v>
      </c>
      <c r="G53" s="89" t="s">
        <v>4813</v>
      </c>
      <c r="H53" s="89" t="s">
        <v>4814</v>
      </c>
      <c r="I53" s="89" t="s">
        <v>4727</v>
      </c>
      <c r="J53" s="89" t="s">
        <v>4728</v>
      </c>
      <c r="K53" s="89" t="str">
        <f>"00051876"</f>
        <v>00051876</v>
      </c>
    </row>
    <row r="54" spans="1:11" ht="57" x14ac:dyDescent="0.25">
      <c r="A54" s="88">
        <v>108</v>
      </c>
      <c r="B54" s="89" t="s">
        <v>2107</v>
      </c>
      <c r="C54" s="25" t="s">
        <v>2</v>
      </c>
      <c r="D54" s="89"/>
      <c r="E54" s="94">
        <v>39504</v>
      </c>
      <c r="F54" s="88">
        <v>4</v>
      </c>
      <c r="G54" s="89" t="s">
        <v>4815</v>
      </c>
      <c r="H54" s="89" t="s">
        <v>1998</v>
      </c>
      <c r="I54" s="89" t="s">
        <v>4781</v>
      </c>
      <c r="J54" s="89" t="s">
        <v>2108</v>
      </c>
      <c r="K54" s="89" t="s">
        <v>6130</v>
      </c>
    </row>
    <row r="55" spans="1:11" ht="28.5" x14ac:dyDescent="0.25">
      <c r="A55" s="88">
        <v>108</v>
      </c>
      <c r="B55" s="89" t="s">
        <v>26</v>
      </c>
      <c r="C55" s="25" t="s">
        <v>2</v>
      </c>
      <c r="D55" s="94">
        <v>65000</v>
      </c>
      <c r="E55" s="89"/>
      <c r="F55" s="88">
        <v>4</v>
      </c>
      <c r="G55" s="89" t="s">
        <v>28</v>
      </c>
      <c r="H55" s="89"/>
      <c r="I55" s="89" t="s">
        <v>4696</v>
      </c>
      <c r="J55" s="89"/>
      <c r="K55" s="89" t="str">
        <f>"　"</f>
        <v>　</v>
      </c>
    </row>
    <row r="56" spans="1:11" ht="71.25" x14ac:dyDescent="0.25">
      <c r="A56" s="88">
        <v>108</v>
      </c>
      <c r="B56" s="89" t="s">
        <v>26</v>
      </c>
      <c r="C56" s="25" t="s">
        <v>2</v>
      </c>
      <c r="D56" s="89"/>
      <c r="E56" s="94">
        <v>67991</v>
      </c>
      <c r="F56" s="88">
        <v>4</v>
      </c>
      <c r="G56" s="89" t="s">
        <v>4816</v>
      </c>
      <c r="H56" s="89" t="s">
        <v>4817</v>
      </c>
      <c r="I56" s="89" t="s">
        <v>4722</v>
      </c>
      <c r="J56" s="89" t="s">
        <v>4739</v>
      </c>
      <c r="K56" s="89" t="str">
        <f>"00050967"</f>
        <v>00050967</v>
      </c>
    </row>
    <row r="57" spans="1:11" ht="24.75" customHeight="1" x14ac:dyDescent="0.25">
      <c r="A57" s="152" t="s">
        <v>6131</v>
      </c>
      <c r="B57" s="155"/>
      <c r="C57" s="155"/>
      <c r="D57" s="155"/>
      <c r="E57" s="94">
        <f>SUM(E52:E56)</f>
        <v>126413</v>
      </c>
      <c r="F57" s="88"/>
      <c r="G57" s="89"/>
      <c r="H57" s="89"/>
      <c r="I57" s="89"/>
      <c r="J57" s="89"/>
      <c r="K57" s="89"/>
    </row>
    <row r="58" spans="1:11" ht="22.5" customHeight="1" x14ac:dyDescent="0.25">
      <c r="A58" s="153" t="s">
        <v>4835</v>
      </c>
      <c r="B58" s="153"/>
      <c r="C58" s="153"/>
      <c r="D58" s="153"/>
      <c r="E58" s="94"/>
      <c r="F58" s="88"/>
      <c r="G58" s="89"/>
      <c r="H58" s="89"/>
      <c r="I58" s="89"/>
      <c r="J58" s="89"/>
      <c r="K58" s="89"/>
    </row>
    <row r="59" spans="1:11" ht="28.5" x14ac:dyDescent="0.25">
      <c r="A59" s="88">
        <v>108</v>
      </c>
      <c r="B59" s="89" t="s">
        <v>12</v>
      </c>
      <c r="C59" s="25" t="s">
        <v>2</v>
      </c>
      <c r="D59" s="94">
        <v>4109000</v>
      </c>
      <c r="E59" s="89"/>
      <c r="F59" s="88">
        <v>4</v>
      </c>
      <c r="G59" s="89" t="s">
        <v>52</v>
      </c>
      <c r="H59" s="89"/>
      <c r="I59" s="89" t="s">
        <v>4696</v>
      </c>
      <c r="J59" s="89"/>
      <c r="K59" s="89" t="str">
        <f>"　"</f>
        <v>　</v>
      </c>
    </row>
    <row r="60" spans="1:11" ht="42.75" x14ac:dyDescent="0.25">
      <c r="A60" s="88">
        <v>108</v>
      </c>
      <c r="B60" s="89" t="s">
        <v>1008</v>
      </c>
      <c r="C60" s="25" t="s">
        <v>2</v>
      </c>
      <c r="D60" s="89"/>
      <c r="E60" s="94">
        <v>45647</v>
      </c>
      <c r="F60" s="88">
        <v>4</v>
      </c>
      <c r="G60" s="89" t="s">
        <v>4820</v>
      </c>
      <c r="H60" s="89" t="s">
        <v>4821</v>
      </c>
      <c r="I60" s="89" t="s">
        <v>4822</v>
      </c>
      <c r="J60" s="89" t="s">
        <v>4823</v>
      </c>
      <c r="K60" s="89" t="str">
        <f>"00047920"</f>
        <v>00047920</v>
      </c>
    </row>
    <row r="61" spans="1:11" ht="60.75" customHeight="1" x14ac:dyDescent="0.25">
      <c r="A61" s="88">
        <v>108</v>
      </c>
      <c r="B61" s="89" t="s">
        <v>983</v>
      </c>
      <c r="C61" s="25" t="s">
        <v>2</v>
      </c>
      <c r="D61" s="89"/>
      <c r="E61" s="94">
        <v>25031</v>
      </c>
      <c r="F61" s="88">
        <v>4</v>
      </c>
      <c r="G61" s="89" t="s">
        <v>4824</v>
      </c>
      <c r="H61" s="89" t="s">
        <v>4467</v>
      </c>
      <c r="I61" s="89" t="s">
        <v>4825</v>
      </c>
      <c r="J61" s="89" t="s">
        <v>4826</v>
      </c>
      <c r="K61" s="89" t="str">
        <f>"00048633"</f>
        <v>00048633</v>
      </c>
    </row>
    <row r="62" spans="1:11" ht="64.5" customHeight="1" x14ac:dyDescent="0.25">
      <c r="A62" s="88">
        <v>108</v>
      </c>
      <c r="B62" s="89" t="s">
        <v>195</v>
      </c>
      <c r="C62" s="25" t="s">
        <v>2</v>
      </c>
      <c r="D62" s="89"/>
      <c r="E62" s="94">
        <v>37714</v>
      </c>
      <c r="F62" s="88">
        <v>4</v>
      </c>
      <c r="G62" s="89" t="s">
        <v>4827</v>
      </c>
      <c r="H62" s="89" t="s">
        <v>647</v>
      </c>
      <c r="I62" s="89" t="s">
        <v>4828</v>
      </c>
      <c r="J62" s="89" t="s">
        <v>4829</v>
      </c>
      <c r="K62" s="89" t="str">
        <f>"00048246"</f>
        <v>00048246</v>
      </c>
    </row>
    <row r="63" spans="1:11" ht="71.25" x14ac:dyDescent="0.25">
      <c r="A63" s="88">
        <v>108</v>
      </c>
      <c r="B63" s="89" t="s">
        <v>3626</v>
      </c>
      <c r="C63" s="25" t="s">
        <v>2</v>
      </c>
      <c r="D63" s="89"/>
      <c r="E63" s="94">
        <v>4969</v>
      </c>
      <c r="F63" s="88">
        <v>4</v>
      </c>
      <c r="G63" s="89" t="s">
        <v>4830</v>
      </c>
      <c r="H63" s="89" t="s">
        <v>1813</v>
      </c>
      <c r="I63" s="89" t="s">
        <v>4831</v>
      </c>
      <c r="J63" s="89" t="s">
        <v>4832</v>
      </c>
      <c r="K63" s="89" t="str">
        <f>"00052563"</f>
        <v>00052563</v>
      </c>
    </row>
    <row r="64" spans="1:11" ht="57" x14ac:dyDescent="0.25">
      <c r="A64" s="88">
        <v>108</v>
      </c>
      <c r="B64" s="89" t="s">
        <v>4833</v>
      </c>
      <c r="C64" s="25" t="s">
        <v>2</v>
      </c>
      <c r="D64" s="89"/>
      <c r="E64" s="94">
        <v>3450</v>
      </c>
      <c r="F64" s="88">
        <v>4</v>
      </c>
      <c r="G64" s="89" t="s">
        <v>4834</v>
      </c>
      <c r="H64" s="89" t="s">
        <v>2106</v>
      </c>
      <c r="I64" s="89" t="s">
        <v>4706</v>
      </c>
      <c r="J64" s="89" t="s">
        <v>4174</v>
      </c>
      <c r="K64" s="89" t="str">
        <f>"00050568"</f>
        <v>00050568</v>
      </c>
    </row>
    <row r="65" spans="1:11" ht="42.75" x14ac:dyDescent="0.25">
      <c r="A65" s="88">
        <v>108</v>
      </c>
      <c r="B65" s="89" t="s">
        <v>4836</v>
      </c>
      <c r="C65" s="25" t="s">
        <v>2</v>
      </c>
      <c r="D65" s="89"/>
      <c r="E65" s="94">
        <v>27600</v>
      </c>
      <c r="F65" s="88">
        <v>4</v>
      </c>
      <c r="G65" s="89" t="s">
        <v>4836</v>
      </c>
      <c r="H65" s="89" t="s">
        <v>2215</v>
      </c>
      <c r="I65" s="89" t="s">
        <v>71</v>
      </c>
      <c r="J65" s="89" t="s">
        <v>2108</v>
      </c>
      <c r="K65" s="89" t="str">
        <f>"00050863"</f>
        <v>00050863</v>
      </c>
    </row>
    <row r="66" spans="1:11" ht="85.5" x14ac:dyDescent="0.25">
      <c r="A66" s="88">
        <v>108</v>
      </c>
      <c r="B66" s="89" t="s">
        <v>4837</v>
      </c>
      <c r="C66" s="25" t="s">
        <v>2</v>
      </c>
      <c r="D66" s="89"/>
      <c r="E66" s="94">
        <v>32001</v>
      </c>
      <c r="F66" s="88">
        <v>4</v>
      </c>
      <c r="G66" s="89" t="s">
        <v>4838</v>
      </c>
      <c r="H66" s="89" t="s">
        <v>4839</v>
      </c>
      <c r="I66" s="89" t="s">
        <v>71</v>
      </c>
      <c r="J66" s="89" t="s">
        <v>4840</v>
      </c>
      <c r="K66" s="89" t="str">
        <f>"00049908"</f>
        <v>00049908</v>
      </c>
    </row>
    <row r="67" spans="1:11" x14ac:dyDescent="0.25">
      <c r="A67" s="152" t="s">
        <v>6132</v>
      </c>
      <c r="B67" s="153"/>
      <c r="C67" s="153"/>
      <c r="D67" s="153"/>
      <c r="E67" s="94">
        <f>SUM(E59:E66)</f>
        <v>176412</v>
      </c>
      <c r="F67" s="88"/>
      <c r="G67" s="89"/>
      <c r="H67" s="89"/>
      <c r="I67" s="89"/>
      <c r="J67" s="89"/>
      <c r="K67" s="89"/>
    </row>
    <row r="68" spans="1:11" x14ac:dyDescent="0.25">
      <c r="A68" s="152" t="s">
        <v>4924</v>
      </c>
      <c r="B68" s="153"/>
      <c r="C68" s="153"/>
      <c r="D68" s="153"/>
      <c r="E68" s="153"/>
      <c r="F68" s="153"/>
      <c r="G68" s="153"/>
      <c r="H68" s="153"/>
      <c r="I68" s="153"/>
      <c r="J68" s="153"/>
      <c r="K68" s="153"/>
    </row>
    <row r="69" spans="1:11" ht="28.5" x14ac:dyDescent="0.25">
      <c r="A69" s="88">
        <v>108</v>
      </c>
      <c r="B69" s="89" t="s">
        <v>12</v>
      </c>
      <c r="C69" s="25" t="s">
        <v>2</v>
      </c>
      <c r="D69" s="94">
        <v>4109000</v>
      </c>
      <c r="E69" s="89"/>
      <c r="F69" s="88">
        <v>4</v>
      </c>
      <c r="G69" s="89" t="s">
        <v>52</v>
      </c>
      <c r="H69" s="89"/>
      <c r="I69" s="89" t="s">
        <v>4696</v>
      </c>
      <c r="J69" s="89"/>
      <c r="K69" s="89" t="str">
        <f>"　"</f>
        <v>　</v>
      </c>
    </row>
    <row r="70" spans="1:11" ht="85.5" x14ac:dyDescent="0.25">
      <c r="A70" s="88">
        <v>108</v>
      </c>
      <c r="B70" s="89" t="s">
        <v>4887</v>
      </c>
      <c r="C70" s="25" t="s">
        <v>2</v>
      </c>
      <c r="D70" s="89"/>
      <c r="E70" s="94">
        <v>34128</v>
      </c>
      <c r="F70" s="88">
        <v>4</v>
      </c>
      <c r="G70" s="89" t="s">
        <v>4888</v>
      </c>
      <c r="H70" s="89" t="s">
        <v>4297</v>
      </c>
      <c r="I70" s="89" t="s">
        <v>4831</v>
      </c>
      <c r="J70" s="89" t="s">
        <v>4832</v>
      </c>
      <c r="K70" s="89" t="s">
        <v>6133</v>
      </c>
    </row>
    <row r="71" spans="1:11" ht="71.25" x14ac:dyDescent="0.25">
      <c r="A71" s="88">
        <v>108</v>
      </c>
      <c r="B71" s="89" t="s">
        <v>271</v>
      </c>
      <c r="C71" s="25" t="s">
        <v>2</v>
      </c>
      <c r="D71" s="89"/>
      <c r="E71" s="94">
        <v>88847</v>
      </c>
      <c r="F71" s="88">
        <v>4</v>
      </c>
      <c r="G71" s="89" t="s">
        <v>4889</v>
      </c>
      <c r="H71" s="89" t="s">
        <v>3965</v>
      </c>
      <c r="I71" s="89" t="s">
        <v>4706</v>
      </c>
      <c r="J71" s="89" t="s">
        <v>4174</v>
      </c>
      <c r="K71" s="89" t="s">
        <v>6134</v>
      </c>
    </row>
    <row r="72" spans="1:11" ht="42.75" x14ac:dyDescent="0.25">
      <c r="A72" s="88">
        <v>108</v>
      </c>
      <c r="B72" s="89" t="s">
        <v>274</v>
      </c>
      <c r="C72" s="25" t="s">
        <v>2</v>
      </c>
      <c r="D72" s="89"/>
      <c r="E72" s="94">
        <v>65545</v>
      </c>
      <c r="F72" s="88">
        <v>4</v>
      </c>
      <c r="G72" s="89" t="s">
        <v>4890</v>
      </c>
      <c r="H72" s="89" t="s">
        <v>750</v>
      </c>
      <c r="I72" s="89" t="s">
        <v>4891</v>
      </c>
      <c r="J72" s="89" t="s">
        <v>4892</v>
      </c>
      <c r="K72" s="89" t="s">
        <v>6135</v>
      </c>
    </row>
    <row r="73" spans="1:11" ht="61.5" customHeight="1" x14ac:dyDescent="0.25">
      <c r="A73" s="88">
        <v>108</v>
      </c>
      <c r="B73" s="89" t="s">
        <v>4893</v>
      </c>
      <c r="C73" s="25" t="s">
        <v>2</v>
      </c>
      <c r="D73" s="89"/>
      <c r="E73" s="94">
        <v>20928</v>
      </c>
      <c r="F73" s="88">
        <v>4</v>
      </c>
      <c r="G73" s="89" t="s">
        <v>4894</v>
      </c>
      <c r="H73" s="89" t="s">
        <v>750</v>
      </c>
      <c r="I73" s="89" t="s">
        <v>4891</v>
      </c>
      <c r="J73" s="89" t="s">
        <v>4892</v>
      </c>
      <c r="K73" s="89" t="s">
        <v>6136</v>
      </c>
    </row>
    <row r="74" spans="1:11" ht="62.25" customHeight="1" x14ac:dyDescent="0.25">
      <c r="A74" s="88">
        <v>108</v>
      </c>
      <c r="B74" s="89" t="s">
        <v>4895</v>
      </c>
      <c r="C74" s="25" t="s">
        <v>2</v>
      </c>
      <c r="D74" s="89"/>
      <c r="E74" s="94">
        <v>35500</v>
      </c>
      <c r="F74" s="88">
        <v>4</v>
      </c>
      <c r="G74" s="89" t="s">
        <v>4896</v>
      </c>
      <c r="H74" s="89" t="s">
        <v>2445</v>
      </c>
      <c r="I74" s="89" t="s">
        <v>4721</v>
      </c>
      <c r="J74" s="89" t="s">
        <v>4282</v>
      </c>
      <c r="K74" s="89" t="s">
        <v>6137</v>
      </c>
    </row>
    <row r="75" spans="1:11" ht="42.75" x14ac:dyDescent="0.25">
      <c r="A75" s="88">
        <v>108</v>
      </c>
      <c r="B75" s="89" t="s">
        <v>295</v>
      </c>
      <c r="C75" s="25" t="s">
        <v>2</v>
      </c>
      <c r="D75" s="89"/>
      <c r="E75" s="94">
        <v>56220</v>
      </c>
      <c r="F75" s="88">
        <v>4</v>
      </c>
      <c r="G75" s="89" t="s">
        <v>4897</v>
      </c>
      <c r="H75" s="89" t="s">
        <v>4898</v>
      </c>
      <c r="I75" s="89" t="s">
        <v>4899</v>
      </c>
      <c r="J75" s="89" t="s">
        <v>4900</v>
      </c>
      <c r="K75" s="89" t="s">
        <v>6733</v>
      </c>
    </row>
    <row r="76" spans="1:11" ht="60" customHeight="1" x14ac:dyDescent="0.25">
      <c r="A76" s="88">
        <v>108</v>
      </c>
      <c r="B76" s="89" t="s">
        <v>4901</v>
      </c>
      <c r="C76" s="25" t="s">
        <v>2</v>
      </c>
      <c r="D76" s="89"/>
      <c r="E76" s="94">
        <v>42720</v>
      </c>
      <c r="F76" s="88">
        <v>4</v>
      </c>
      <c r="G76" s="89" t="s">
        <v>4902</v>
      </c>
      <c r="H76" s="89" t="s">
        <v>4903</v>
      </c>
      <c r="I76" s="89" t="s">
        <v>4727</v>
      </c>
      <c r="J76" s="89" t="s">
        <v>4728</v>
      </c>
      <c r="K76" s="89" t="str">
        <f>"00051433"</f>
        <v>00051433</v>
      </c>
    </row>
    <row r="77" spans="1:11" ht="93.75" customHeight="1" x14ac:dyDescent="0.25">
      <c r="A77" s="88">
        <v>108</v>
      </c>
      <c r="B77" s="89" t="s">
        <v>1862</v>
      </c>
      <c r="C77" s="25" t="s">
        <v>2</v>
      </c>
      <c r="D77" s="89"/>
      <c r="E77" s="94">
        <v>39892</v>
      </c>
      <c r="F77" s="88">
        <v>4</v>
      </c>
      <c r="G77" s="89" t="s">
        <v>4904</v>
      </c>
      <c r="H77" s="89" t="s">
        <v>4905</v>
      </c>
      <c r="I77" s="89" t="s">
        <v>4706</v>
      </c>
      <c r="J77" s="89" t="s">
        <v>4174</v>
      </c>
      <c r="K77" s="89" t="s">
        <v>6270</v>
      </c>
    </row>
    <row r="78" spans="1:11" ht="42.75" x14ac:dyDescent="0.25">
      <c r="A78" s="88">
        <v>108</v>
      </c>
      <c r="B78" s="89" t="s">
        <v>280</v>
      </c>
      <c r="C78" s="25" t="s">
        <v>2</v>
      </c>
      <c r="D78" s="89"/>
      <c r="E78" s="94">
        <v>62259</v>
      </c>
      <c r="F78" s="88">
        <v>4</v>
      </c>
      <c r="G78" s="89" t="s">
        <v>4906</v>
      </c>
      <c r="H78" s="89" t="s">
        <v>4905</v>
      </c>
      <c r="I78" s="89" t="s">
        <v>4706</v>
      </c>
      <c r="J78" s="89" t="s">
        <v>4174</v>
      </c>
      <c r="K78" s="89" t="s">
        <v>6138</v>
      </c>
    </row>
    <row r="79" spans="1:11" ht="42.75" x14ac:dyDescent="0.25">
      <c r="A79" s="88">
        <v>108</v>
      </c>
      <c r="B79" s="89" t="s">
        <v>1814</v>
      </c>
      <c r="C79" s="25" t="s">
        <v>2</v>
      </c>
      <c r="D79" s="89"/>
      <c r="E79" s="94">
        <v>55494</v>
      </c>
      <c r="F79" s="88">
        <v>4</v>
      </c>
      <c r="G79" s="89" t="s">
        <v>4907</v>
      </c>
      <c r="H79" s="89" t="s">
        <v>4908</v>
      </c>
      <c r="I79" s="89" t="s">
        <v>4727</v>
      </c>
      <c r="J79" s="89" t="s">
        <v>4728</v>
      </c>
      <c r="K79" s="89" t="s">
        <v>6271</v>
      </c>
    </row>
    <row r="80" spans="1:11" ht="62.25" customHeight="1" x14ac:dyDescent="0.25">
      <c r="A80" s="88">
        <v>108</v>
      </c>
      <c r="B80" s="89" t="s">
        <v>4909</v>
      </c>
      <c r="C80" s="25" t="s">
        <v>2</v>
      </c>
      <c r="D80" s="89"/>
      <c r="E80" s="94">
        <v>70000</v>
      </c>
      <c r="F80" s="88">
        <v>4</v>
      </c>
      <c r="G80" s="89" t="s">
        <v>4910</v>
      </c>
      <c r="H80" s="89" t="s">
        <v>4911</v>
      </c>
      <c r="I80" s="89" t="s">
        <v>4706</v>
      </c>
      <c r="J80" s="89" t="s">
        <v>4174</v>
      </c>
      <c r="K80" s="89" t="s">
        <v>6259</v>
      </c>
    </row>
    <row r="81" spans="1:11" ht="57" x14ac:dyDescent="0.25">
      <c r="A81" s="88">
        <v>108</v>
      </c>
      <c r="B81" s="89" t="s">
        <v>1825</v>
      </c>
      <c r="C81" s="25" t="s">
        <v>2</v>
      </c>
      <c r="D81" s="89"/>
      <c r="E81" s="94">
        <v>24585</v>
      </c>
      <c r="F81" s="88">
        <v>4</v>
      </c>
      <c r="G81" s="89" t="s">
        <v>4912</v>
      </c>
      <c r="H81" s="89" t="s">
        <v>4913</v>
      </c>
      <c r="I81" s="89" t="s">
        <v>4891</v>
      </c>
      <c r="J81" s="89" t="s">
        <v>4892</v>
      </c>
      <c r="K81" s="89" t="str">
        <f>"00050724"</f>
        <v>00050724</v>
      </c>
    </row>
    <row r="82" spans="1:11" ht="42.75" x14ac:dyDescent="0.25">
      <c r="A82" s="88">
        <v>108</v>
      </c>
      <c r="B82" s="89" t="s">
        <v>4914</v>
      </c>
      <c r="C82" s="25" t="s">
        <v>2</v>
      </c>
      <c r="D82" s="89"/>
      <c r="E82" s="94">
        <v>2465</v>
      </c>
      <c r="F82" s="88">
        <v>4</v>
      </c>
      <c r="G82" s="89" t="s">
        <v>4914</v>
      </c>
      <c r="H82" s="89" t="s">
        <v>4915</v>
      </c>
      <c r="I82" s="89" t="s">
        <v>71</v>
      </c>
      <c r="J82" s="89" t="s">
        <v>4282</v>
      </c>
      <c r="K82" s="89" t="str">
        <f>"00048919"</f>
        <v>00048919</v>
      </c>
    </row>
    <row r="83" spans="1:11" ht="61.5" customHeight="1" x14ac:dyDescent="0.25">
      <c r="A83" s="88">
        <v>108</v>
      </c>
      <c r="B83" s="89" t="s">
        <v>4916</v>
      </c>
      <c r="C83" s="25" t="s">
        <v>2</v>
      </c>
      <c r="D83" s="89"/>
      <c r="E83" s="94">
        <v>6061</v>
      </c>
      <c r="F83" s="88">
        <v>4</v>
      </c>
      <c r="G83" s="89" t="s">
        <v>4916</v>
      </c>
      <c r="H83" s="89" t="s">
        <v>3173</v>
      </c>
      <c r="I83" s="89" t="s">
        <v>71</v>
      </c>
      <c r="J83" s="89" t="s">
        <v>4282</v>
      </c>
      <c r="K83" s="89" t="str">
        <f>"00048687"</f>
        <v>00048687</v>
      </c>
    </row>
    <row r="84" spans="1:11" ht="61.5" customHeight="1" x14ac:dyDescent="0.25">
      <c r="A84" s="88">
        <v>108</v>
      </c>
      <c r="B84" s="89" t="s">
        <v>4917</v>
      </c>
      <c r="C84" s="25" t="s">
        <v>2</v>
      </c>
      <c r="D84" s="89"/>
      <c r="E84" s="94">
        <v>93550</v>
      </c>
      <c r="F84" s="88">
        <v>4</v>
      </c>
      <c r="G84" s="89" t="s">
        <v>4917</v>
      </c>
      <c r="H84" s="89" t="s">
        <v>4918</v>
      </c>
      <c r="I84" s="89" t="s">
        <v>71</v>
      </c>
      <c r="J84" s="89" t="s">
        <v>4728</v>
      </c>
      <c r="K84" s="89" t="str">
        <f>"00052352"</f>
        <v>00052352</v>
      </c>
    </row>
    <row r="85" spans="1:11" ht="57" x14ac:dyDescent="0.25">
      <c r="A85" s="88">
        <v>108</v>
      </c>
      <c r="B85" s="89" t="s">
        <v>4919</v>
      </c>
      <c r="C85" s="25" t="s">
        <v>2</v>
      </c>
      <c r="D85" s="89"/>
      <c r="E85" s="94">
        <v>34725</v>
      </c>
      <c r="F85" s="88">
        <v>4</v>
      </c>
      <c r="G85" s="89" t="s">
        <v>4919</v>
      </c>
      <c r="H85" s="89" t="s">
        <v>2024</v>
      </c>
      <c r="I85" s="89" t="s">
        <v>71</v>
      </c>
      <c r="J85" s="89" t="s">
        <v>4282</v>
      </c>
      <c r="K85" s="89" t="s">
        <v>6139</v>
      </c>
    </row>
    <row r="86" spans="1:11" ht="42.75" x14ac:dyDescent="0.25">
      <c r="A86" s="88">
        <v>108</v>
      </c>
      <c r="B86" s="89" t="s">
        <v>4920</v>
      </c>
      <c r="C86" s="25" t="s">
        <v>2</v>
      </c>
      <c r="D86" s="89"/>
      <c r="E86" s="94">
        <v>53383</v>
      </c>
      <c r="F86" s="88">
        <v>4</v>
      </c>
      <c r="G86" s="89" t="s">
        <v>4920</v>
      </c>
      <c r="H86" s="89" t="s">
        <v>3299</v>
      </c>
      <c r="I86" s="89" t="s">
        <v>71</v>
      </c>
      <c r="J86" s="89" t="s">
        <v>4921</v>
      </c>
      <c r="K86" s="89" t="str">
        <f>"00052360"</f>
        <v>00052360</v>
      </c>
    </row>
    <row r="87" spans="1:11" ht="42.75" x14ac:dyDescent="0.25">
      <c r="A87" s="88">
        <v>108</v>
      </c>
      <c r="B87" s="89" t="s">
        <v>4920</v>
      </c>
      <c r="C87" s="25" t="s">
        <v>2</v>
      </c>
      <c r="D87" s="89"/>
      <c r="E87" s="94">
        <v>38966</v>
      </c>
      <c r="F87" s="88">
        <v>4</v>
      </c>
      <c r="G87" s="89" t="s">
        <v>4920</v>
      </c>
      <c r="H87" s="89" t="s">
        <v>4922</v>
      </c>
      <c r="I87" s="89" t="s">
        <v>71</v>
      </c>
      <c r="J87" s="89" t="s">
        <v>4921</v>
      </c>
      <c r="K87" s="89" t="str">
        <f>"00051789"</f>
        <v>00051789</v>
      </c>
    </row>
    <row r="88" spans="1:11" ht="42.75" x14ac:dyDescent="0.25">
      <c r="A88" s="88">
        <v>108</v>
      </c>
      <c r="B88" s="89" t="s">
        <v>4923</v>
      </c>
      <c r="C88" s="25" t="s">
        <v>5351</v>
      </c>
      <c r="D88" s="89"/>
      <c r="E88" s="94">
        <v>94179</v>
      </c>
      <c r="F88" s="88">
        <v>4</v>
      </c>
      <c r="G88" s="89" t="s">
        <v>4923</v>
      </c>
      <c r="H88" s="89" t="s">
        <v>4903</v>
      </c>
      <c r="I88" s="89" t="s">
        <v>71</v>
      </c>
      <c r="J88" s="89" t="s">
        <v>4282</v>
      </c>
      <c r="K88" s="89" t="str">
        <f>"00051939"</f>
        <v>00051939</v>
      </c>
    </row>
    <row r="89" spans="1:11" ht="71.25" x14ac:dyDescent="0.25">
      <c r="A89" s="88">
        <v>108</v>
      </c>
      <c r="B89" s="89" t="s">
        <v>5561</v>
      </c>
      <c r="C89" s="25" t="s">
        <v>5352</v>
      </c>
      <c r="D89" s="89"/>
      <c r="E89" s="94">
        <v>62747</v>
      </c>
      <c r="F89" s="88"/>
      <c r="G89" s="89" t="s">
        <v>5353</v>
      </c>
      <c r="H89" s="89" t="s">
        <v>5562</v>
      </c>
      <c r="I89" s="89" t="s">
        <v>5563</v>
      </c>
      <c r="J89" s="89" t="s">
        <v>5564</v>
      </c>
      <c r="K89" s="31" t="s">
        <v>5565</v>
      </c>
    </row>
    <row r="90" spans="1:11" ht="42.75" x14ac:dyDescent="0.25">
      <c r="A90" s="88">
        <v>108</v>
      </c>
      <c r="B90" s="89" t="s">
        <v>4516</v>
      </c>
      <c r="C90" s="25" t="s">
        <v>2</v>
      </c>
      <c r="D90" s="89"/>
      <c r="E90" s="94">
        <v>63435</v>
      </c>
      <c r="F90" s="88">
        <v>4</v>
      </c>
      <c r="G90" s="89" t="s">
        <v>4517</v>
      </c>
      <c r="H90" s="89" t="s">
        <v>4518</v>
      </c>
      <c r="I90" s="89" t="s">
        <v>71</v>
      </c>
      <c r="J90" s="89" t="s">
        <v>2108</v>
      </c>
      <c r="K90" s="89" t="str">
        <f>"00049509"</f>
        <v>00049509</v>
      </c>
    </row>
    <row r="91" spans="1:11" x14ac:dyDescent="0.25">
      <c r="A91" s="146" t="s">
        <v>6140</v>
      </c>
      <c r="B91" s="146"/>
      <c r="C91" s="146"/>
      <c r="D91" s="146"/>
      <c r="E91" s="94">
        <f>SUM(E69:E90)</f>
        <v>1045629</v>
      </c>
      <c r="F91" s="145"/>
      <c r="G91" s="145"/>
      <c r="H91" s="145"/>
      <c r="I91" s="145"/>
      <c r="J91" s="145"/>
      <c r="K91" s="145"/>
    </row>
    <row r="92" spans="1:11" ht="71.25" x14ac:dyDescent="0.25">
      <c r="A92" s="88">
        <v>108</v>
      </c>
      <c r="B92" s="89" t="s">
        <v>2294</v>
      </c>
      <c r="C92" s="25" t="s">
        <v>2</v>
      </c>
      <c r="D92" s="89"/>
      <c r="E92" s="94">
        <v>43514</v>
      </c>
      <c r="F92" s="88">
        <v>4</v>
      </c>
      <c r="G92" s="89" t="s">
        <v>4926</v>
      </c>
      <c r="H92" s="89" t="s">
        <v>4927</v>
      </c>
      <c r="I92" s="89" t="s">
        <v>4928</v>
      </c>
      <c r="J92" s="89" t="s">
        <v>4929</v>
      </c>
      <c r="K92" s="89" t="str">
        <f>"00049736"</f>
        <v>00049736</v>
      </c>
    </row>
    <row r="93" spans="1:11" ht="99.75" x14ac:dyDescent="0.25">
      <c r="A93" s="88">
        <v>108</v>
      </c>
      <c r="B93" s="89" t="s">
        <v>4930</v>
      </c>
      <c r="C93" s="25" t="s">
        <v>2</v>
      </c>
      <c r="D93" s="89"/>
      <c r="E93" s="94">
        <v>62566</v>
      </c>
      <c r="F93" s="88">
        <v>4</v>
      </c>
      <c r="G93" s="89" t="s">
        <v>4931</v>
      </c>
      <c r="H93" s="89" t="s">
        <v>4932</v>
      </c>
      <c r="I93" s="89" t="s">
        <v>4933</v>
      </c>
      <c r="J93" s="89" t="s">
        <v>4934</v>
      </c>
      <c r="K93" s="89" t="str">
        <f>"00049014"</f>
        <v>00049014</v>
      </c>
    </row>
    <row r="94" spans="1:11" ht="99.75" x14ac:dyDescent="0.25">
      <c r="A94" s="88">
        <v>108</v>
      </c>
      <c r="B94" s="89" t="s">
        <v>2294</v>
      </c>
      <c r="C94" s="25" t="s">
        <v>2</v>
      </c>
      <c r="D94" s="89"/>
      <c r="E94" s="94">
        <v>41028</v>
      </c>
      <c r="F94" s="88">
        <v>4</v>
      </c>
      <c r="G94" s="89" t="s">
        <v>4935</v>
      </c>
      <c r="H94" s="89" t="s">
        <v>4936</v>
      </c>
      <c r="I94" s="89" t="s">
        <v>4822</v>
      </c>
      <c r="J94" s="89" t="s">
        <v>4823</v>
      </c>
      <c r="K94" s="89" t="str">
        <f>"00048868"</f>
        <v>00048868</v>
      </c>
    </row>
    <row r="95" spans="1:11" ht="57" x14ac:dyDescent="0.25">
      <c r="A95" s="88">
        <v>108</v>
      </c>
      <c r="B95" s="89" t="s">
        <v>4937</v>
      </c>
      <c r="C95" s="25" t="s">
        <v>2</v>
      </c>
      <c r="D95" s="89"/>
      <c r="E95" s="94">
        <v>11700</v>
      </c>
      <c r="F95" s="88">
        <v>4</v>
      </c>
      <c r="G95" s="89" t="s">
        <v>4938</v>
      </c>
      <c r="H95" s="89" t="s">
        <v>4939</v>
      </c>
      <c r="I95" s="89" t="s">
        <v>4721</v>
      </c>
      <c r="J95" s="89" t="s">
        <v>4282</v>
      </c>
      <c r="K95" s="89" t="s">
        <v>6141</v>
      </c>
    </row>
    <row r="96" spans="1:11" ht="42.75" x14ac:dyDescent="0.25">
      <c r="A96" s="88">
        <v>108</v>
      </c>
      <c r="B96" s="89" t="s">
        <v>4940</v>
      </c>
      <c r="C96" s="25" t="s">
        <v>2</v>
      </c>
      <c r="D96" s="89"/>
      <c r="E96" s="94">
        <v>47411</v>
      </c>
      <c r="F96" s="88">
        <v>4</v>
      </c>
      <c r="G96" s="89" t="s">
        <v>4941</v>
      </c>
      <c r="H96" s="89" t="s">
        <v>4942</v>
      </c>
      <c r="I96" s="89" t="s">
        <v>4822</v>
      </c>
      <c r="J96" s="89" t="s">
        <v>4823</v>
      </c>
      <c r="K96" s="89" t="s">
        <v>6142</v>
      </c>
    </row>
    <row r="97" spans="1:11" ht="42.75" x14ac:dyDescent="0.25">
      <c r="A97" s="88">
        <v>108</v>
      </c>
      <c r="B97" s="89" t="s">
        <v>4359</v>
      </c>
      <c r="C97" s="25" t="s">
        <v>2</v>
      </c>
      <c r="D97" s="89"/>
      <c r="E97" s="94">
        <v>11675</v>
      </c>
      <c r="F97" s="88">
        <v>4</v>
      </c>
      <c r="G97" s="89" t="s">
        <v>4360</v>
      </c>
      <c r="H97" s="89" t="s">
        <v>4361</v>
      </c>
      <c r="I97" s="89" t="s">
        <v>71</v>
      </c>
      <c r="J97" s="89" t="s">
        <v>4282</v>
      </c>
      <c r="K97" s="89" t="str">
        <f>"00052947"</f>
        <v>00052947</v>
      </c>
    </row>
    <row r="98" spans="1:11" s="1" customFormat="1" ht="14.25" x14ac:dyDescent="0.25">
      <c r="A98" s="152" t="s">
        <v>6255</v>
      </c>
      <c r="B98" s="152"/>
      <c r="C98" s="152"/>
      <c r="D98" s="94"/>
      <c r="E98" s="94">
        <f>SUM(E92:E97)</f>
        <v>217894</v>
      </c>
      <c r="F98" s="165"/>
      <c r="G98" s="165"/>
      <c r="H98" s="165"/>
      <c r="I98" s="165"/>
      <c r="J98" s="165"/>
      <c r="K98" s="165"/>
    </row>
    <row r="99" spans="1:11" s="1" customFormat="1" ht="14.25" customHeight="1" x14ac:dyDescent="0.25">
      <c r="A99" s="146" t="s">
        <v>6254</v>
      </c>
      <c r="B99" s="146"/>
      <c r="C99" s="146"/>
      <c r="D99" s="146"/>
      <c r="E99" s="146"/>
      <c r="F99" s="146"/>
      <c r="G99" s="146"/>
      <c r="H99" s="146"/>
      <c r="I99" s="146"/>
      <c r="J99" s="146"/>
      <c r="K99" s="146"/>
    </row>
    <row r="100" spans="1:11" s="1" customFormat="1" ht="28.5" x14ac:dyDescent="0.25">
      <c r="A100" s="88">
        <v>108</v>
      </c>
      <c r="B100" s="89" t="s">
        <v>12</v>
      </c>
      <c r="C100" s="25" t="s">
        <v>2</v>
      </c>
      <c r="D100" s="94">
        <v>4109000</v>
      </c>
      <c r="E100" s="89"/>
      <c r="F100" s="88">
        <v>4</v>
      </c>
      <c r="G100" s="89" t="s">
        <v>52</v>
      </c>
      <c r="H100" s="89"/>
      <c r="I100" s="89" t="s">
        <v>4696</v>
      </c>
      <c r="J100" s="89"/>
      <c r="K100" s="89" t="str">
        <f>"　"</f>
        <v>　</v>
      </c>
    </row>
    <row r="101" spans="1:11" s="1" customFormat="1" ht="57" x14ac:dyDescent="0.25">
      <c r="A101" s="88">
        <v>108</v>
      </c>
      <c r="B101" s="89" t="s">
        <v>2483</v>
      </c>
      <c r="C101" s="25" t="s">
        <v>2</v>
      </c>
      <c r="D101" s="89"/>
      <c r="E101" s="94">
        <v>36528</v>
      </c>
      <c r="F101" s="88">
        <v>4</v>
      </c>
      <c r="G101" s="89" t="s">
        <v>5617</v>
      </c>
      <c r="H101" s="89" t="s">
        <v>4943</v>
      </c>
      <c r="I101" s="89" t="s">
        <v>4722</v>
      </c>
      <c r="J101" s="89" t="s">
        <v>4944</v>
      </c>
      <c r="K101" s="89" t="s">
        <v>6734</v>
      </c>
    </row>
    <row r="102" spans="1:11" s="1" customFormat="1" ht="42.75" x14ac:dyDescent="0.25">
      <c r="A102" s="88">
        <v>108</v>
      </c>
      <c r="B102" s="89" t="s">
        <v>4945</v>
      </c>
      <c r="C102" s="25" t="s">
        <v>2</v>
      </c>
      <c r="D102" s="89"/>
      <c r="E102" s="94">
        <v>24765</v>
      </c>
      <c r="F102" s="88">
        <v>4</v>
      </c>
      <c r="G102" s="89" t="s">
        <v>4946</v>
      </c>
      <c r="H102" s="89" t="s">
        <v>3032</v>
      </c>
      <c r="I102" s="89" t="s">
        <v>4721</v>
      </c>
      <c r="J102" s="89" t="s">
        <v>4282</v>
      </c>
      <c r="K102" s="89" t="str">
        <f>"00049173"</f>
        <v>00049173</v>
      </c>
    </row>
    <row r="103" spans="1:11" ht="57" x14ac:dyDescent="0.25">
      <c r="A103" s="88">
        <v>108</v>
      </c>
      <c r="B103" s="89" t="s">
        <v>4945</v>
      </c>
      <c r="C103" s="25" t="s">
        <v>2</v>
      </c>
      <c r="D103" s="89"/>
      <c r="E103" s="94">
        <v>54913</v>
      </c>
      <c r="F103" s="88">
        <v>4</v>
      </c>
      <c r="G103" s="89" t="s">
        <v>4947</v>
      </c>
      <c r="H103" s="89" t="s">
        <v>3032</v>
      </c>
      <c r="I103" s="89" t="s">
        <v>4721</v>
      </c>
      <c r="J103" s="89" t="s">
        <v>4282</v>
      </c>
      <c r="K103" s="89" t="s">
        <v>6735</v>
      </c>
    </row>
    <row r="104" spans="1:11" ht="57" x14ac:dyDescent="0.25">
      <c r="A104" s="88">
        <v>108</v>
      </c>
      <c r="B104" s="89" t="s">
        <v>2483</v>
      </c>
      <c r="C104" s="25" t="s">
        <v>2</v>
      </c>
      <c r="D104" s="89"/>
      <c r="E104" s="94">
        <v>26019</v>
      </c>
      <c r="F104" s="88">
        <v>4</v>
      </c>
      <c r="G104" s="89" t="s">
        <v>5566</v>
      </c>
      <c r="H104" s="89" t="s">
        <v>4948</v>
      </c>
      <c r="I104" s="89" t="s">
        <v>4826</v>
      </c>
      <c r="J104" s="89" t="s">
        <v>4825</v>
      </c>
      <c r="K104" s="89" t="s">
        <v>6736</v>
      </c>
    </row>
    <row r="105" spans="1:11" ht="57" x14ac:dyDescent="0.25">
      <c r="A105" s="88">
        <v>108</v>
      </c>
      <c r="B105" s="89" t="s">
        <v>4949</v>
      </c>
      <c r="C105" s="25" t="s">
        <v>2</v>
      </c>
      <c r="D105" s="89"/>
      <c r="E105" s="94">
        <v>61983</v>
      </c>
      <c r="F105" s="88">
        <v>4</v>
      </c>
      <c r="G105" s="89" t="s">
        <v>4950</v>
      </c>
      <c r="H105" s="89" t="s">
        <v>1782</v>
      </c>
      <c r="I105" s="89" t="s">
        <v>4721</v>
      </c>
      <c r="J105" s="89" t="s">
        <v>4282</v>
      </c>
      <c r="K105" s="89" t="s">
        <v>6737</v>
      </c>
    </row>
    <row r="106" spans="1:11" ht="71.25" x14ac:dyDescent="0.25">
      <c r="A106" s="88">
        <v>108</v>
      </c>
      <c r="B106" s="89" t="s">
        <v>4951</v>
      </c>
      <c r="C106" s="25" t="s">
        <v>2</v>
      </c>
      <c r="D106" s="89"/>
      <c r="E106" s="94">
        <v>53536</v>
      </c>
      <c r="F106" s="88">
        <v>4</v>
      </c>
      <c r="G106" s="89" t="s">
        <v>4952</v>
      </c>
      <c r="H106" s="89" t="s">
        <v>2092</v>
      </c>
      <c r="I106" s="89" t="s">
        <v>4809</v>
      </c>
      <c r="J106" s="89" t="s">
        <v>4953</v>
      </c>
      <c r="K106" s="89" t="s">
        <v>6143</v>
      </c>
    </row>
    <row r="107" spans="1:11" ht="57" x14ac:dyDescent="0.25">
      <c r="A107" s="88">
        <v>108</v>
      </c>
      <c r="B107" s="89" t="s">
        <v>2475</v>
      </c>
      <c r="C107" s="25" t="s">
        <v>2</v>
      </c>
      <c r="D107" s="89"/>
      <c r="E107" s="94">
        <v>45148</v>
      </c>
      <c r="F107" s="88">
        <v>4</v>
      </c>
      <c r="G107" s="89" t="s">
        <v>4954</v>
      </c>
      <c r="H107" s="89" t="s">
        <v>4955</v>
      </c>
      <c r="I107" s="89" t="s">
        <v>4822</v>
      </c>
      <c r="J107" s="89" t="s">
        <v>4956</v>
      </c>
      <c r="K107" s="89" t="s">
        <v>6144</v>
      </c>
    </row>
    <row r="108" spans="1:11" ht="57" x14ac:dyDescent="0.25">
      <c r="A108" s="88">
        <v>108</v>
      </c>
      <c r="B108" s="89" t="s">
        <v>2475</v>
      </c>
      <c r="C108" s="25" t="s">
        <v>2</v>
      </c>
      <c r="D108" s="89"/>
      <c r="E108" s="94">
        <v>56097</v>
      </c>
      <c r="F108" s="88">
        <v>4</v>
      </c>
      <c r="G108" s="89" t="s">
        <v>4957</v>
      </c>
      <c r="H108" s="89" t="s">
        <v>4955</v>
      </c>
      <c r="I108" s="89" t="s">
        <v>4822</v>
      </c>
      <c r="J108" s="89" t="s">
        <v>4958</v>
      </c>
      <c r="K108" s="89" t="s">
        <v>6145</v>
      </c>
    </row>
    <row r="109" spans="1:11" ht="71.25" x14ac:dyDescent="0.25">
      <c r="A109" s="88">
        <v>108</v>
      </c>
      <c r="B109" s="89" t="s">
        <v>4959</v>
      </c>
      <c r="C109" s="25" t="s">
        <v>2</v>
      </c>
      <c r="D109" s="89"/>
      <c r="E109" s="94">
        <v>60000</v>
      </c>
      <c r="F109" s="88">
        <v>4</v>
      </c>
      <c r="G109" s="89" t="s">
        <v>4959</v>
      </c>
      <c r="H109" s="89" t="s">
        <v>4960</v>
      </c>
      <c r="I109" s="89" t="s">
        <v>4721</v>
      </c>
      <c r="J109" s="89" t="s">
        <v>4282</v>
      </c>
      <c r="K109" s="89" t="s">
        <v>6146</v>
      </c>
    </row>
    <row r="110" spans="1:11" ht="42.75" x14ac:dyDescent="0.25">
      <c r="A110" s="88">
        <v>108</v>
      </c>
      <c r="B110" s="89" t="s">
        <v>4961</v>
      </c>
      <c r="C110" s="25" t="s">
        <v>2</v>
      </c>
      <c r="D110" s="89"/>
      <c r="E110" s="94">
        <v>22100</v>
      </c>
      <c r="F110" s="88">
        <v>4</v>
      </c>
      <c r="G110" s="89" t="s">
        <v>4961</v>
      </c>
      <c r="H110" s="89" t="s">
        <v>4962</v>
      </c>
      <c r="I110" s="89" t="s">
        <v>71</v>
      </c>
      <c r="J110" s="89" t="s">
        <v>4963</v>
      </c>
      <c r="K110" s="89" t="str">
        <f>"00047203"</f>
        <v>00047203</v>
      </c>
    </row>
    <row r="111" spans="1:11" x14ac:dyDescent="0.25">
      <c r="A111" s="146" t="s">
        <v>6256</v>
      </c>
      <c r="B111" s="146"/>
      <c r="C111" s="146"/>
      <c r="D111" s="146"/>
      <c r="E111" s="94">
        <f>SUM(E100:E110)</f>
        <v>441089</v>
      </c>
      <c r="F111" s="165"/>
      <c r="G111" s="165"/>
      <c r="H111" s="165"/>
      <c r="I111" s="165"/>
      <c r="J111" s="165"/>
      <c r="K111" s="165"/>
    </row>
    <row r="112" spans="1:11" ht="15.75" customHeight="1" x14ac:dyDescent="0.25">
      <c r="A112" s="146" t="s">
        <v>4974</v>
      </c>
      <c r="B112" s="146"/>
      <c r="C112" s="146"/>
      <c r="D112" s="146"/>
      <c r="E112" s="146"/>
      <c r="F112" s="146"/>
      <c r="G112" s="146"/>
      <c r="H112" s="146"/>
      <c r="I112" s="146"/>
      <c r="J112" s="146"/>
      <c r="K112" s="146"/>
    </row>
    <row r="113" spans="1:11" ht="42.75" x14ac:dyDescent="0.25">
      <c r="A113" s="88">
        <v>108</v>
      </c>
      <c r="B113" s="89" t="s">
        <v>4964</v>
      </c>
      <c r="C113" s="25" t="s">
        <v>2</v>
      </c>
      <c r="D113" s="89"/>
      <c r="E113" s="94">
        <v>44618</v>
      </c>
      <c r="F113" s="88">
        <v>4</v>
      </c>
      <c r="G113" s="89" t="s">
        <v>4965</v>
      </c>
      <c r="H113" s="89" t="s">
        <v>3476</v>
      </c>
      <c r="I113" s="89" t="s">
        <v>4699</v>
      </c>
      <c r="J113" s="89" t="s">
        <v>72</v>
      </c>
      <c r="K113" s="89" t="s">
        <v>4966</v>
      </c>
    </row>
    <row r="114" spans="1:11" ht="57" x14ac:dyDescent="0.25">
      <c r="A114" s="88">
        <v>108</v>
      </c>
      <c r="B114" s="89" t="s">
        <v>4967</v>
      </c>
      <c r="C114" s="25" t="s">
        <v>2</v>
      </c>
      <c r="D114" s="89"/>
      <c r="E114" s="94">
        <v>55003</v>
      </c>
      <c r="F114" s="88">
        <v>4</v>
      </c>
      <c r="G114" s="89" t="s">
        <v>4968</v>
      </c>
      <c r="H114" s="89" t="s">
        <v>4969</v>
      </c>
      <c r="I114" s="89" t="s">
        <v>4721</v>
      </c>
      <c r="J114" s="89" t="s">
        <v>4282</v>
      </c>
      <c r="K114" s="89" t="s">
        <v>4970</v>
      </c>
    </row>
    <row r="115" spans="1:11" ht="42.75" x14ac:dyDescent="0.25">
      <c r="A115" s="88">
        <v>108</v>
      </c>
      <c r="B115" s="89" t="s">
        <v>525</v>
      </c>
      <c r="C115" s="25" t="s">
        <v>2</v>
      </c>
      <c r="D115" s="89"/>
      <c r="E115" s="94">
        <v>69308</v>
      </c>
      <c r="F115" s="88">
        <v>4</v>
      </c>
      <c r="G115" s="89" t="s">
        <v>4971</v>
      </c>
      <c r="H115" s="89" t="s">
        <v>4972</v>
      </c>
      <c r="I115" s="89" t="s">
        <v>4727</v>
      </c>
      <c r="J115" s="89" t="s">
        <v>4728</v>
      </c>
      <c r="K115" s="89" t="s">
        <v>4973</v>
      </c>
    </row>
    <row r="116" spans="1:11" x14ac:dyDescent="0.25">
      <c r="A116" s="152" t="s">
        <v>6147</v>
      </c>
      <c r="B116" s="153"/>
      <c r="C116" s="153"/>
      <c r="D116" s="153"/>
      <c r="E116" s="94">
        <f>SUM(E113:E115)</f>
        <v>168929</v>
      </c>
      <c r="F116" s="145"/>
      <c r="G116" s="145"/>
      <c r="H116" s="145"/>
      <c r="I116" s="145"/>
      <c r="J116" s="145"/>
      <c r="K116" s="145"/>
    </row>
    <row r="117" spans="1:11" ht="22.5" customHeight="1" x14ac:dyDescent="0.25">
      <c r="A117" s="146" t="s">
        <v>4987</v>
      </c>
      <c r="B117" s="146"/>
      <c r="C117" s="146"/>
      <c r="D117" s="146"/>
      <c r="E117" s="146"/>
      <c r="F117" s="146"/>
      <c r="G117" s="146"/>
      <c r="H117" s="146"/>
      <c r="I117" s="146"/>
      <c r="J117" s="146"/>
      <c r="K117" s="146"/>
    </row>
    <row r="118" spans="1:11" ht="28.5" x14ac:dyDescent="0.25">
      <c r="A118" s="88">
        <v>108</v>
      </c>
      <c r="B118" s="89" t="s">
        <v>12</v>
      </c>
      <c r="C118" s="25" t="s">
        <v>2</v>
      </c>
      <c r="D118" s="94">
        <v>4109000</v>
      </c>
      <c r="E118" s="89"/>
      <c r="F118" s="88">
        <v>4</v>
      </c>
      <c r="G118" s="89" t="s">
        <v>52</v>
      </c>
      <c r="H118" s="89"/>
      <c r="I118" s="89" t="s">
        <v>4696</v>
      </c>
      <c r="J118" s="89"/>
      <c r="K118" s="89" t="str">
        <f>"　"</f>
        <v>　</v>
      </c>
    </row>
    <row r="119" spans="1:11" ht="42.75" x14ac:dyDescent="0.25">
      <c r="A119" s="88">
        <v>108</v>
      </c>
      <c r="B119" s="89" t="s">
        <v>603</v>
      </c>
      <c r="C119" s="25" t="s">
        <v>2</v>
      </c>
      <c r="D119" s="89"/>
      <c r="E119" s="94">
        <v>23768</v>
      </c>
      <c r="F119" s="88">
        <v>4</v>
      </c>
      <c r="G119" s="89" t="s">
        <v>4981</v>
      </c>
      <c r="H119" s="89" t="s">
        <v>599</v>
      </c>
      <c r="I119" s="89" t="s">
        <v>4721</v>
      </c>
      <c r="J119" s="89" t="s">
        <v>4282</v>
      </c>
      <c r="K119" s="89" t="str">
        <f>"00047242"</f>
        <v>00047242</v>
      </c>
    </row>
    <row r="120" spans="1:11" ht="69.75" customHeight="1" x14ac:dyDescent="0.25">
      <c r="A120" s="88">
        <v>108</v>
      </c>
      <c r="B120" s="89" t="s">
        <v>603</v>
      </c>
      <c r="C120" s="25" t="s">
        <v>2</v>
      </c>
      <c r="D120" s="89"/>
      <c r="E120" s="94">
        <v>8094</v>
      </c>
      <c r="F120" s="88">
        <v>4</v>
      </c>
      <c r="G120" s="89" t="s">
        <v>4982</v>
      </c>
      <c r="H120" s="89" t="s">
        <v>599</v>
      </c>
      <c r="I120" s="89" t="s">
        <v>4721</v>
      </c>
      <c r="J120" s="89" t="s">
        <v>4282</v>
      </c>
      <c r="K120" s="89" t="str">
        <f>"00047209"</f>
        <v>00047209</v>
      </c>
    </row>
    <row r="121" spans="1:11" ht="63.75" customHeight="1" x14ac:dyDescent="0.25">
      <c r="A121" s="88">
        <v>108</v>
      </c>
      <c r="B121" s="89" t="s">
        <v>603</v>
      </c>
      <c r="C121" s="25" t="s">
        <v>2</v>
      </c>
      <c r="D121" s="89"/>
      <c r="E121" s="94">
        <v>8366</v>
      </c>
      <c r="F121" s="88">
        <v>4</v>
      </c>
      <c r="G121" s="89" t="s">
        <v>4982</v>
      </c>
      <c r="H121" s="89" t="s">
        <v>599</v>
      </c>
      <c r="I121" s="89" t="s">
        <v>4721</v>
      </c>
      <c r="J121" s="89" t="s">
        <v>4282</v>
      </c>
      <c r="K121" s="89" t="str">
        <f>"00047211"</f>
        <v>00047211</v>
      </c>
    </row>
    <row r="122" spans="1:11" ht="42.75" x14ac:dyDescent="0.25">
      <c r="A122" s="88">
        <v>108</v>
      </c>
      <c r="B122" s="89" t="s">
        <v>600</v>
      </c>
      <c r="C122" s="25" t="s">
        <v>2</v>
      </c>
      <c r="D122" s="89"/>
      <c r="E122" s="94">
        <v>33986</v>
      </c>
      <c r="F122" s="88">
        <v>4</v>
      </c>
      <c r="G122" s="89" t="s">
        <v>4983</v>
      </c>
      <c r="H122" s="89" t="s">
        <v>4915</v>
      </c>
      <c r="I122" s="89" t="s">
        <v>4706</v>
      </c>
      <c r="J122" s="89" t="s">
        <v>4174</v>
      </c>
      <c r="K122" s="89" t="str">
        <f>"00049065"</f>
        <v>00049065</v>
      </c>
    </row>
    <row r="123" spans="1:11" ht="42.75" x14ac:dyDescent="0.25">
      <c r="A123" s="88">
        <v>108</v>
      </c>
      <c r="B123" s="89" t="s">
        <v>626</v>
      </c>
      <c r="C123" s="25" t="s">
        <v>2</v>
      </c>
      <c r="D123" s="89"/>
      <c r="E123" s="94">
        <v>46018</v>
      </c>
      <c r="F123" s="88">
        <v>4</v>
      </c>
      <c r="G123" s="89" t="s">
        <v>4984</v>
      </c>
      <c r="H123" s="89" t="s">
        <v>1513</v>
      </c>
      <c r="I123" s="89" t="s">
        <v>4727</v>
      </c>
      <c r="J123" s="89" t="s">
        <v>4728</v>
      </c>
      <c r="K123" s="89" t="str">
        <f>"00050760"</f>
        <v>00050760</v>
      </c>
    </row>
    <row r="124" spans="1:11" ht="42.75" x14ac:dyDescent="0.25">
      <c r="A124" s="88">
        <v>108</v>
      </c>
      <c r="B124" s="89" t="s">
        <v>631</v>
      </c>
      <c r="C124" s="25" t="s">
        <v>2</v>
      </c>
      <c r="D124" s="89"/>
      <c r="E124" s="94">
        <v>22039</v>
      </c>
      <c r="F124" s="88">
        <v>4</v>
      </c>
      <c r="G124" s="89" t="s">
        <v>4985</v>
      </c>
      <c r="H124" s="89" t="s">
        <v>228</v>
      </c>
      <c r="I124" s="89" t="s">
        <v>4722</v>
      </c>
      <c r="J124" s="89" t="s">
        <v>76</v>
      </c>
      <c r="K124" s="89" t="str">
        <f>"00048657"</f>
        <v>00048657</v>
      </c>
    </row>
    <row r="125" spans="1:11" ht="57" x14ac:dyDescent="0.25">
      <c r="A125" s="88">
        <v>108</v>
      </c>
      <c r="B125" s="89" t="s">
        <v>2770</v>
      </c>
      <c r="C125" s="25" t="s">
        <v>2</v>
      </c>
      <c r="D125" s="89"/>
      <c r="E125" s="94">
        <v>22599</v>
      </c>
      <c r="F125" s="88">
        <v>4</v>
      </c>
      <c r="G125" s="89" t="s">
        <v>4986</v>
      </c>
      <c r="H125" s="89" t="s">
        <v>2775</v>
      </c>
      <c r="I125" s="89" t="s">
        <v>4706</v>
      </c>
      <c r="J125" s="89" t="s">
        <v>2777</v>
      </c>
      <c r="K125" s="89" t="str">
        <f>"00048780"</f>
        <v>00048780</v>
      </c>
    </row>
    <row r="126" spans="1:11" x14ac:dyDescent="0.25">
      <c r="A126" s="152" t="s">
        <v>6148</v>
      </c>
      <c r="B126" s="153"/>
      <c r="C126" s="153"/>
      <c r="D126" s="153"/>
      <c r="E126" s="94">
        <f>SUM(E118:E125)</f>
        <v>164870</v>
      </c>
      <c r="F126" s="145"/>
      <c r="G126" s="145"/>
      <c r="H126" s="145"/>
      <c r="I126" s="145"/>
      <c r="J126" s="145"/>
      <c r="K126" s="145"/>
    </row>
    <row r="127" spans="1:11" ht="15.75" customHeight="1" x14ac:dyDescent="0.25">
      <c r="A127" s="146" t="s">
        <v>5009</v>
      </c>
      <c r="B127" s="146"/>
      <c r="C127" s="146"/>
      <c r="D127" s="146"/>
      <c r="E127" s="146"/>
      <c r="F127" s="146"/>
      <c r="G127" s="146"/>
      <c r="H127" s="146"/>
      <c r="I127" s="146"/>
      <c r="J127" s="146"/>
      <c r="K127" s="146"/>
    </row>
    <row r="128" spans="1:11" ht="28.5" x14ac:dyDescent="0.25">
      <c r="A128" s="88">
        <v>108</v>
      </c>
      <c r="B128" s="89" t="s">
        <v>12</v>
      </c>
      <c r="C128" s="25" t="s">
        <v>2</v>
      </c>
      <c r="D128" s="94">
        <v>4109000</v>
      </c>
      <c r="E128" s="89"/>
      <c r="F128" s="88">
        <v>4</v>
      </c>
      <c r="G128" s="89" t="s">
        <v>52</v>
      </c>
      <c r="H128" s="89"/>
      <c r="I128" s="89" t="s">
        <v>4696</v>
      </c>
      <c r="J128" s="89"/>
      <c r="K128" s="89" t="str">
        <f>"　"</f>
        <v>　</v>
      </c>
    </row>
    <row r="129" spans="1:11" ht="28.5" x14ac:dyDescent="0.25">
      <c r="A129" s="88">
        <v>108</v>
      </c>
      <c r="B129" s="89" t="s">
        <v>12</v>
      </c>
      <c r="C129" s="25" t="s">
        <v>2</v>
      </c>
      <c r="D129" s="94">
        <v>39945</v>
      </c>
      <c r="E129" s="89"/>
      <c r="F129" s="88">
        <v>4</v>
      </c>
      <c r="G129" s="89" t="s">
        <v>858</v>
      </c>
      <c r="H129" s="89"/>
      <c r="I129" s="89" t="s">
        <v>4696</v>
      </c>
      <c r="J129" s="89"/>
      <c r="K129" s="89" t="str">
        <f>"　"</f>
        <v>　</v>
      </c>
    </row>
    <row r="130" spans="1:11" ht="114" x14ac:dyDescent="0.25">
      <c r="A130" s="88">
        <v>108</v>
      </c>
      <c r="B130" s="89" t="s">
        <v>12</v>
      </c>
      <c r="C130" s="25" t="s">
        <v>2</v>
      </c>
      <c r="D130" s="89"/>
      <c r="E130" s="94">
        <v>36227</v>
      </c>
      <c r="F130" s="88">
        <v>4</v>
      </c>
      <c r="G130" s="89" t="s">
        <v>5005</v>
      </c>
      <c r="H130" s="89" t="s">
        <v>5006</v>
      </c>
      <c r="I130" s="89" t="s">
        <v>4727</v>
      </c>
      <c r="J130" s="89" t="s">
        <v>4728</v>
      </c>
      <c r="K130" s="89" t="str">
        <f>"00047520"</f>
        <v>00047520</v>
      </c>
    </row>
    <row r="131" spans="1:11" ht="28.5" x14ac:dyDescent="0.25">
      <c r="A131" s="88">
        <v>108</v>
      </c>
      <c r="B131" s="89" t="s">
        <v>12</v>
      </c>
      <c r="C131" s="25" t="s">
        <v>2</v>
      </c>
      <c r="D131" s="94">
        <v>70000</v>
      </c>
      <c r="E131" s="89"/>
      <c r="F131" s="88">
        <v>4</v>
      </c>
      <c r="G131" s="89" t="s">
        <v>25</v>
      </c>
      <c r="H131" s="89"/>
      <c r="I131" s="89" t="s">
        <v>4696</v>
      </c>
      <c r="J131" s="89"/>
      <c r="K131" s="89" t="str">
        <f>"　"</f>
        <v>　</v>
      </c>
    </row>
    <row r="132" spans="1:11" ht="42.75" x14ac:dyDescent="0.25">
      <c r="A132" s="88">
        <v>108</v>
      </c>
      <c r="B132" s="89" t="s">
        <v>12</v>
      </c>
      <c r="C132" s="25" t="s">
        <v>2</v>
      </c>
      <c r="D132" s="89"/>
      <c r="E132" s="94">
        <v>57381</v>
      </c>
      <c r="F132" s="88">
        <v>4</v>
      </c>
      <c r="G132" s="89" t="s">
        <v>5007</v>
      </c>
      <c r="H132" s="89" t="s">
        <v>5008</v>
      </c>
      <c r="I132" s="89" t="s">
        <v>4706</v>
      </c>
      <c r="J132" s="89" t="s">
        <v>4174</v>
      </c>
      <c r="K132" s="89" t="str">
        <f>"00047309"</f>
        <v>00047309</v>
      </c>
    </row>
    <row r="133" spans="1:11" x14ac:dyDescent="0.25">
      <c r="A133" s="146" t="s">
        <v>6149</v>
      </c>
      <c r="B133" s="146"/>
      <c r="C133" s="146"/>
      <c r="D133" s="146"/>
      <c r="E133" s="94">
        <f>SUM(E128:E132)</f>
        <v>93608</v>
      </c>
      <c r="F133" s="145"/>
      <c r="G133" s="145"/>
      <c r="H133" s="145"/>
      <c r="I133" s="145"/>
      <c r="J133" s="145"/>
      <c r="K133" s="145"/>
    </row>
    <row r="134" spans="1:11" ht="18.75" customHeight="1" x14ac:dyDescent="0.25">
      <c r="A134" s="146" t="s">
        <v>5037</v>
      </c>
      <c r="B134" s="146"/>
      <c r="C134" s="146"/>
      <c r="D134" s="146"/>
      <c r="E134" s="146"/>
      <c r="F134" s="146"/>
      <c r="G134" s="146"/>
      <c r="H134" s="146"/>
      <c r="I134" s="146"/>
      <c r="J134" s="146"/>
      <c r="K134" s="146"/>
    </row>
    <row r="135" spans="1:11" ht="28.5" x14ac:dyDescent="0.25">
      <c r="A135" s="88">
        <v>108</v>
      </c>
      <c r="B135" s="89" t="s">
        <v>12</v>
      </c>
      <c r="C135" s="25" t="s">
        <v>2</v>
      </c>
      <c r="D135" s="94">
        <v>4109000</v>
      </c>
      <c r="E135" s="89"/>
      <c r="F135" s="88">
        <v>4</v>
      </c>
      <c r="G135" s="89" t="s">
        <v>52</v>
      </c>
      <c r="H135" s="89"/>
      <c r="I135" s="89" t="s">
        <v>4696</v>
      </c>
      <c r="J135" s="89"/>
      <c r="K135" s="89" t="str">
        <f>"　"</f>
        <v>　</v>
      </c>
    </row>
    <row r="136" spans="1:11" ht="57" x14ac:dyDescent="0.25">
      <c r="A136" s="88">
        <v>108</v>
      </c>
      <c r="B136" s="89" t="s">
        <v>5013</v>
      </c>
      <c r="C136" s="25" t="s">
        <v>2</v>
      </c>
      <c r="D136" s="89"/>
      <c r="E136" s="94">
        <v>12900</v>
      </c>
      <c r="F136" s="88">
        <v>4</v>
      </c>
      <c r="G136" s="89" t="s">
        <v>5014</v>
      </c>
      <c r="H136" s="89" t="s">
        <v>5015</v>
      </c>
      <c r="I136" s="89" t="s">
        <v>4706</v>
      </c>
      <c r="J136" s="89" t="s">
        <v>4174</v>
      </c>
      <c r="K136" s="64" t="s">
        <v>6150</v>
      </c>
    </row>
    <row r="137" spans="1:11" ht="57" x14ac:dyDescent="0.25">
      <c r="A137" s="88">
        <v>108</v>
      </c>
      <c r="B137" s="89" t="s">
        <v>5016</v>
      </c>
      <c r="C137" s="25" t="s">
        <v>2</v>
      </c>
      <c r="D137" s="89"/>
      <c r="E137" s="94">
        <v>44609</v>
      </c>
      <c r="F137" s="88">
        <v>4</v>
      </c>
      <c r="G137" s="89" t="s">
        <v>5017</v>
      </c>
      <c r="H137" s="89" t="s">
        <v>4035</v>
      </c>
      <c r="I137" s="89" t="s">
        <v>4787</v>
      </c>
      <c r="J137" s="89" t="s">
        <v>4746</v>
      </c>
      <c r="K137" s="89" t="s">
        <v>6151</v>
      </c>
    </row>
    <row r="138" spans="1:11" ht="57" x14ac:dyDescent="0.25">
      <c r="A138" s="88">
        <v>108</v>
      </c>
      <c r="B138" s="89" t="s">
        <v>5016</v>
      </c>
      <c r="C138" s="25" t="s">
        <v>2</v>
      </c>
      <c r="D138" s="89"/>
      <c r="E138" s="94">
        <v>46509</v>
      </c>
      <c r="F138" s="88">
        <v>4</v>
      </c>
      <c r="G138" s="89" t="s">
        <v>5018</v>
      </c>
      <c r="H138" s="89" t="s">
        <v>4035</v>
      </c>
      <c r="I138" s="89" t="s">
        <v>4787</v>
      </c>
      <c r="J138" s="89" t="s">
        <v>4746</v>
      </c>
      <c r="K138" s="89" t="s">
        <v>6152</v>
      </c>
    </row>
    <row r="139" spans="1:11" ht="85.5" x14ac:dyDescent="0.25">
      <c r="A139" s="88">
        <v>108</v>
      </c>
      <c r="B139" s="89" t="s">
        <v>2118</v>
      </c>
      <c r="C139" s="25" t="s">
        <v>2</v>
      </c>
      <c r="D139" s="89"/>
      <c r="E139" s="94">
        <v>75071</v>
      </c>
      <c r="F139" s="88">
        <v>4</v>
      </c>
      <c r="G139" s="89" t="s">
        <v>5019</v>
      </c>
      <c r="H139" s="89" t="s">
        <v>4589</v>
      </c>
      <c r="I139" s="89" t="s">
        <v>4921</v>
      </c>
      <c r="J139" s="89" t="s">
        <v>5020</v>
      </c>
      <c r="K139" s="89" t="s">
        <v>6154</v>
      </c>
    </row>
    <row r="140" spans="1:11" ht="57" x14ac:dyDescent="0.25">
      <c r="A140" s="88">
        <v>108</v>
      </c>
      <c r="B140" s="89" t="s">
        <v>5016</v>
      </c>
      <c r="C140" s="25" t="s">
        <v>2</v>
      </c>
      <c r="D140" s="89"/>
      <c r="E140" s="94">
        <v>46509</v>
      </c>
      <c r="F140" s="88">
        <v>4</v>
      </c>
      <c r="G140" s="89" t="s">
        <v>5021</v>
      </c>
      <c r="H140" s="89" t="s">
        <v>4035</v>
      </c>
      <c r="I140" s="89" t="s">
        <v>4787</v>
      </c>
      <c r="J140" s="89" t="s">
        <v>4746</v>
      </c>
      <c r="K140" s="89" t="s">
        <v>6153</v>
      </c>
    </row>
    <row r="141" spans="1:11" ht="71.25" x14ac:dyDescent="0.25">
      <c r="A141" s="88">
        <v>108</v>
      </c>
      <c r="B141" s="89" t="s">
        <v>5022</v>
      </c>
      <c r="C141" s="25" t="s">
        <v>2</v>
      </c>
      <c r="D141" s="89"/>
      <c r="E141" s="94">
        <v>13859</v>
      </c>
      <c r="F141" s="88">
        <v>4</v>
      </c>
      <c r="G141" s="89" t="s">
        <v>5023</v>
      </c>
      <c r="H141" s="89" t="s">
        <v>5024</v>
      </c>
      <c r="I141" s="89" t="s">
        <v>4727</v>
      </c>
      <c r="J141" s="89" t="s">
        <v>4728</v>
      </c>
      <c r="K141" s="89" t="str">
        <f>"00052211"</f>
        <v>00052211</v>
      </c>
    </row>
    <row r="142" spans="1:11" ht="71.25" x14ac:dyDescent="0.25">
      <c r="A142" s="88">
        <v>108</v>
      </c>
      <c r="B142" s="89" t="s">
        <v>5016</v>
      </c>
      <c r="C142" s="25" t="s">
        <v>2</v>
      </c>
      <c r="D142" s="89"/>
      <c r="E142" s="94">
        <v>45309</v>
      </c>
      <c r="F142" s="88">
        <v>4</v>
      </c>
      <c r="G142" s="89" t="s">
        <v>5025</v>
      </c>
      <c r="H142" s="89" t="s">
        <v>4035</v>
      </c>
      <c r="I142" s="89" t="s">
        <v>4787</v>
      </c>
      <c r="J142" s="89" t="s">
        <v>4746</v>
      </c>
      <c r="K142" s="89" t="s">
        <v>6155</v>
      </c>
    </row>
    <row r="143" spans="1:11" ht="85.5" x14ac:dyDescent="0.25">
      <c r="A143" s="88">
        <v>108</v>
      </c>
      <c r="B143" s="89" t="s">
        <v>5013</v>
      </c>
      <c r="C143" s="25" t="s">
        <v>2</v>
      </c>
      <c r="D143" s="89"/>
      <c r="E143" s="94">
        <v>33549</v>
      </c>
      <c r="F143" s="88">
        <v>4</v>
      </c>
      <c r="G143" s="89" t="s">
        <v>5026</v>
      </c>
      <c r="H143" s="89" t="s">
        <v>4005</v>
      </c>
      <c r="I143" s="89" t="s">
        <v>5027</v>
      </c>
      <c r="J143" s="89" t="s">
        <v>5028</v>
      </c>
      <c r="K143" s="89" t="str">
        <f>"00051112"</f>
        <v>00051112</v>
      </c>
    </row>
    <row r="144" spans="1:11" ht="71.25" x14ac:dyDescent="0.25">
      <c r="A144" s="88">
        <v>108</v>
      </c>
      <c r="B144" s="89" t="s">
        <v>5029</v>
      </c>
      <c r="C144" s="25" t="s">
        <v>2</v>
      </c>
      <c r="D144" s="89"/>
      <c r="E144" s="94">
        <v>21161</v>
      </c>
      <c r="F144" s="88">
        <v>4</v>
      </c>
      <c r="G144" s="89" t="s">
        <v>5030</v>
      </c>
      <c r="H144" s="89" t="s">
        <v>2899</v>
      </c>
      <c r="I144" s="89" t="s">
        <v>4706</v>
      </c>
      <c r="J144" s="89" t="s">
        <v>4174</v>
      </c>
      <c r="K144" s="89" t="str">
        <f>"00051565"</f>
        <v>00051565</v>
      </c>
    </row>
    <row r="145" spans="1:11" ht="114" x14ac:dyDescent="0.25">
      <c r="A145" s="88">
        <v>108</v>
      </c>
      <c r="B145" s="89" t="s">
        <v>5567</v>
      </c>
      <c r="C145" s="25" t="s">
        <v>2</v>
      </c>
      <c r="D145" s="89"/>
      <c r="E145" s="94">
        <v>13379</v>
      </c>
      <c r="F145" s="88">
        <v>4</v>
      </c>
      <c r="G145" s="89" t="s">
        <v>5031</v>
      </c>
      <c r="H145" s="89" t="s">
        <v>5032</v>
      </c>
      <c r="I145" s="89" t="s">
        <v>4727</v>
      </c>
      <c r="J145" s="89" t="s">
        <v>4728</v>
      </c>
      <c r="K145" s="89" t="s">
        <v>5033</v>
      </c>
    </row>
    <row r="146" spans="1:11" ht="85.5" x14ac:dyDescent="0.25">
      <c r="A146" s="88">
        <v>108</v>
      </c>
      <c r="B146" s="89" t="s">
        <v>5034</v>
      </c>
      <c r="C146" s="25" t="s">
        <v>2</v>
      </c>
      <c r="D146" s="89"/>
      <c r="E146" s="94">
        <v>26610</v>
      </c>
      <c r="F146" s="88">
        <v>4</v>
      </c>
      <c r="G146" s="89" t="s">
        <v>5035</v>
      </c>
      <c r="H146" s="89" t="s">
        <v>2335</v>
      </c>
      <c r="I146" s="89" t="s">
        <v>5555</v>
      </c>
      <c r="J146" s="89" t="s">
        <v>5036</v>
      </c>
      <c r="K146" s="89" t="str">
        <f>"00052047"</f>
        <v>00052047</v>
      </c>
    </row>
    <row r="147" spans="1:11" ht="22.5" customHeight="1" x14ac:dyDescent="0.25">
      <c r="A147" s="152" t="s">
        <v>6156</v>
      </c>
      <c r="B147" s="153"/>
      <c r="C147" s="153"/>
      <c r="D147" s="153"/>
      <c r="E147" s="94">
        <f>SUM(E135:E146)</f>
        <v>379465</v>
      </c>
      <c r="F147" s="145"/>
      <c r="G147" s="145"/>
      <c r="H147" s="145"/>
      <c r="I147" s="145"/>
      <c r="J147" s="145"/>
      <c r="K147" s="145"/>
    </row>
    <row r="148" spans="1:11" ht="20.65" customHeight="1" x14ac:dyDescent="0.25">
      <c r="A148" s="146" t="s">
        <v>5079</v>
      </c>
      <c r="B148" s="146"/>
      <c r="C148" s="146"/>
      <c r="D148" s="146"/>
      <c r="E148" s="146"/>
      <c r="F148" s="146"/>
      <c r="G148" s="146"/>
      <c r="H148" s="146"/>
      <c r="I148" s="146"/>
      <c r="J148" s="146"/>
      <c r="K148" s="146"/>
    </row>
    <row r="149" spans="1:11" ht="31.35" customHeight="1" x14ac:dyDescent="0.25">
      <c r="A149" s="88">
        <v>108</v>
      </c>
      <c r="B149" s="89" t="s">
        <v>12</v>
      </c>
      <c r="C149" s="25" t="s">
        <v>2</v>
      </c>
      <c r="D149" s="94">
        <v>4109000</v>
      </c>
      <c r="E149" s="89"/>
      <c r="F149" s="88">
        <v>4</v>
      </c>
      <c r="G149" s="89" t="s">
        <v>52</v>
      </c>
      <c r="H149" s="89"/>
      <c r="I149" s="89" t="s">
        <v>4696</v>
      </c>
      <c r="J149" s="89"/>
      <c r="K149" s="89" t="str">
        <f>"　"</f>
        <v>　</v>
      </c>
    </row>
    <row r="150" spans="1:11" ht="85.5" x14ac:dyDescent="0.25">
      <c r="A150" s="88">
        <v>108</v>
      </c>
      <c r="B150" s="89" t="s">
        <v>2174</v>
      </c>
      <c r="C150" s="25" t="s">
        <v>2</v>
      </c>
      <c r="D150" s="89"/>
      <c r="E150" s="94">
        <v>1837</v>
      </c>
      <c r="F150" s="88">
        <v>4</v>
      </c>
      <c r="G150" s="89" t="s">
        <v>5069</v>
      </c>
      <c r="H150" s="89" t="s">
        <v>622</v>
      </c>
      <c r="I150" s="89" t="s">
        <v>4831</v>
      </c>
      <c r="J150" s="89" t="s">
        <v>5070</v>
      </c>
      <c r="K150" s="89" t="s">
        <v>6158</v>
      </c>
    </row>
    <row r="151" spans="1:11" ht="114" x14ac:dyDescent="0.25">
      <c r="A151" s="88">
        <v>108</v>
      </c>
      <c r="B151" s="89" t="s">
        <v>5071</v>
      </c>
      <c r="C151" s="25" t="s">
        <v>2</v>
      </c>
      <c r="D151" s="89"/>
      <c r="E151" s="94">
        <v>19157</v>
      </c>
      <c r="F151" s="88">
        <v>4</v>
      </c>
      <c r="G151" s="89" t="s">
        <v>5072</v>
      </c>
      <c r="H151" s="89" t="s">
        <v>2886</v>
      </c>
      <c r="I151" s="89" t="s">
        <v>4727</v>
      </c>
      <c r="J151" s="89" t="s">
        <v>4728</v>
      </c>
      <c r="K151" s="89" t="s">
        <v>6159</v>
      </c>
    </row>
    <row r="152" spans="1:11" ht="85.5" x14ac:dyDescent="0.25">
      <c r="A152" s="88">
        <v>108</v>
      </c>
      <c r="B152" s="89" t="s">
        <v>3033</v>
      </c>
      <c r="C152" s="25" t="s">
        <v>2</v>
      </c>
      <c r="D152" s="89"/>
      <c r="E152" s="94">
        <v>35000</v>
      </c>
      <c r="F152" s="88">
        <v>4</v>
      </c>
      <c r="G152" s="89" t="s">
        <v>5073</v>
      </c>
      <c r="H152" s="89" t="s">
        <v>5074</v>
      </c>
      <c r="I152" s="89" t="s">
        <v>4727</v>
      </c>
      <c r="J152" s="89" t="s">
        <v>4728</v>
      </c>
      <c r="K152" s="89" t="str">
        <f>"00049586"</f>
        <v>00049586</v>
      </c>
    </row>
    <row r="153" spans="1:11" ht="85.5" x14ac:dyDescent="0.25">
      <c r="A153" s="88">
        <v>108</v>
      </c>
      <c r="B153" s="89" t="s">
        <v>5075</v>
      </c>
      <c r="C153" s="25" t="s">
        <v>2</v>
      </c>
      <c r="D153" s="89"/>
      <c r="E153" s="94">
        <v>17588</v>
      </c>
      <c r="F153" s="88">
        <v>4</v>
      </c>
      <c r="G153" s="89" t="s">
        <v>5076</v>
      </c>
      <c r="H153" s="89" t="s">
        <v>5077</v>
      </c>
      <c r="I153" s="89" t="s">
        <v>71</v>
      </c>
      <c r="J153" s="89" t="s">
        <v>5078</v>
      </c>
      <c r="K153" s="89" t="str">
        <f>"00051725"</f>
        <v>00051725</v>
      </c>
    </row>
    <row r="154" spans="1:11" x14ac:dyDescent="0.25">
      <c r="A154" s="152" t="s">
        <v>6160</v>
      </c>
      <c r="B154" s="153"/>
      <c r="C154" s="153"/>
      <c r="D154" s="153"/>
      <c r="E154" s="94">
        <f>SUM(E149:E153)</f>
        <v>73582</v>
      </c>
      <c r="F154" s="145"/>
      <c r="G154" s="145"/>
      <c r="H154" s="145"/>
      <c r="I154" s="145"/>
      <c r="J154" s="145"/>
      <c r="K154" s="145"/>
    </row>
    <row r="155" spans="1:11" ht="15.75" customHeight="1" x14ac:dyDescent="0.25">
      <c r="A155" s="163" t="s">
        <v>5097</v>
      </c>
      <c r="B155" s="163"/>
      <c r="C155" s="163"/>
      <c r="D155" s="163"/>
      <c r="E155" s="163"/>
      <c r="F155" s="163"/>
      <c r="G155" s="163"/>
      <c r="H155" s="163"/>
      <c r="I155" s="163"/>
      <c r="J155" s="163"/>
      <c r="K155" s="163"/>
    </row>
    <row r="156" spans="1:11" ht="32.65" customHeight="1" x14ac:dyDescent="0.25">
      <c r="A156" s="88">
        <v>108</v>
      </c>
      <c r="B156" s="89" t="s">
        <v>12</v>
      </c>
      <c r="C156" s="25" t="s">
        <v>2</v>
      </c>
      <c r="D156" s="94">
        <v>4109000</v>
      </c>
      <c r="E156" s="89"/>
      <c r="F156" s="88">
        <v>4</v>
      </c>
      <c r="G156" s="89" t="s">
        <v>52</v>
      </c>
      <c r="H156" s="89"/>
      <c r="I156" s="89" t="s">
        <v>4696</v>
      </c>
      <c r="J156" s="89"/>
      <c r="K156" s="89" t="str">
        <f>"　"</f>
        <v>　</v>
      </c>
    </row>
    <row r="157" spans="1:11" ht="57" x14ac:dyDescent="0.25">
      <c r="A157" s="88">
        <v>108</v>
      </c>
      <c r="B157" s="89" t="s">
        <v>5098</v>
      </c>
      <c r="C157" s="25" t="s">
        <v>2</v>
      </c>
      <c r="D157" s="89"/>
      <c r="E157" s="94">
        <v>16804</v>
      </c>
      <c r="F157" s="88">
        <v>4</v>
      </c>
      <c r="G157" s="89" t="s">
        <v>5099</v>
      </c>
      <c r="H157" s="89" t="s">
        <v>4905</v>
      </c>
      <c r="I157" s="89" t="s">
        <v>4734</v>
      </c>
      <c r="J157" s="89" t="s">
        <v>4735</v>
      </c>
      <c r="K157" s="89" t="s">
        <v>6739</v>
      </c>
    </row>
    <row r="158" spans="1:11" ht="57" x14ac:dyDescent="0.25">
      <c r="A158" s="88">
        <v>108</v>
      </c>
      <c r="B158" s="89" t="s">
        <v>5098</v>
      </c>
      <c r="C158" s="25" t="s">
        <v>2</v>
      </c>
      <c r="D158" s="89"/>
      <c r="E158" s="94">
        <v>16999</v>
      </c>
      <c r="F158" s="88">
        <v>4</v>
      </c>
      <c r="G158" s="89" t="s">
        <v>5100</v>
      </c>
      <c r="H158" s="89" t="s">
        <v>5101</v>
      </c>
      <c r="I158" s="89" t="s">
        <v>4734</v>
      </c>
      <c r="J158" s="89" t="s">
        <v>4735</v>
      </c>
      <c r="K158" s="89" t="s">
        <v>6740</v>
      </c>
    </row>
    <row r="159" spans="1:11" ht="57" x14ac:dyDescent="0.25">
      <c r="A159" s="88">
        <v>108</v>
      </c>
      <c r="B159" s="89" t="s">
        <v>5098</v>
      </c>
      <c r="C159" s="25" t="s">
        <v>2</v>
      </c>
      <c r="D159" s="89"/>
      <c r="E159" s="94">
        <v>17174</v>
      </c>
      <c r="F159" s="88">
        <v>4</v>
      </c>
      <c r="G159" s="89" t="s">
        <v>5100</v>
      </c>
      <c r="H159" s="89" t="s">
        <v>4905</v>
      </c>
      <c r="I159" s="89" t="s">
        <v>4734</v>
      </c>
      <c r="J159" s="89" t="s">
        <v>4735</v>
      </c>
      <c r="K159" s="89" t="s">
        <v>6741</v>
      </c>
    </row>
    <row r="160" spans="1:11" ht="57" x14ac:dyDescent="0.25">
      <c r="A160" s="88">
        <v>108</v>
      </c>
      <c r="B160" s="89" t="s">
        <v>5098</v>
      </c>
      <c r="C160" s="25" t="s">
        <v>2</v>
      </c>
      <c r="D160" s="89"/>
      <c r="E160" s="94">
        <v>17119</v>
      </c>
      <c r="F160" s="88">
        <v>4</v>
      </c>
      <c r="G160" s="89" t="s">
        <v>5100</v>
      </c>
      <c r="H160" s="89" t="s">
        <v>4193</v>
      </c>
      <c r="I160" s="89" t="s">
        <v>4734</v>
      </c>
      <c r="J160" s="89" t="s">
        <v>4735</v>
      </c>
      <c r="K160" s="89" t="s">
        <v>6742</v>
      </c>
    </row>
    <row r="161" spans="1:12" ht="63" customHeight="1" x14ac:dyDescent="0.25">
      <c r="A161" s="88">
        <v>108</v>
      </c>
      <c r="B161" s="89" t="s">
        <v>5098</v>
      </c>
      <c r="C161" s="25" t="s">
        <v>2</v>
      </c>
      <c r="D161" s="89"/>
      <c r="E161" s="94">
        <v>16804</v>
      </c>
      <c r="F161" s="88">
        <v>4</v>
      </c>
      <c r="G161" s="89" t="s">
        <v>5100</v>
      </c>
      <c r="H161" s="89" t="s">
        <v>5102</v>
      </c>
      <c r="I161" s="89" t="s">
        <v>4734</v>
      </c>
      <c r="J161" s="89" t="s">
        <v>4735</v>
      </c>
      <c r="K161" s="89" t="s">
        <v>6260</v>
      </c>
    </row>
    <row r="162" spans="1:12" ht="71.25" x14ac:dyDescent="0.25">
      <c r="A162" s="88">
        <v>108</v>
      </c>
      <c r="B162" s="89" t="s">
        <v>5098</v>
      </c>
      <c r="C162" s="25" t="s">
        <v>2</v>
      </c>
      <c r="D162" s="89"/>
      <c r="E162" s="94">
        <v>16804</v>
      </c>
      <c r="F162" s="88">
        <v>4</v>
      </c>
      <c r="G162" s="89" t="s">
        <v>5103</v>
      </c>
      <c r="H162" s="89" t="s">
        <v>4905</v>
      </c>
      <c r="I162" s="89" t="s">
        <v>4734</v>
      </c>
      <c r="J162" s="89" t="s">
        <v>4735</v>
      </c>
      <c r="K162" s="89" t="s">
        <v>6261</v>
      </c>
    </row>
    <row r="163" spans="1:12" ht="42.75" x14ac:dyDescent="0.25">
      <c r="A163" s="88">
        <v>108</v>
      </c>
      <c r="B163" s="89" t="s">
        <v>2201</v>
      </c>
      <c r="C163" s="25" t="s">
        <v>2</v>
      </c>
      <c r="D163" s="89"/>
      <c r="E163" s="94">
        <v>39635</v>
      </c>
      <c r="F163" s="88">
        <v>4</v>
      </c>
      <c r="G163" s="89" t="s">
        <v>5104</v>
      </c>
      <c r="H163" s="89" t="s">
        <v>344</v>
      </c>
      <c r="I163" s="89" t="s">
        <v>4721</v>
      </c>
      <c r="J163" s="89" t="s">
        <v>4282</v>
      </c>
      <c r="K163" s="89" t="str">
        <f>"00046936"</f>
        <v>00046936</v>
      </c>
    </row>
    <row r="164" spans="1:12" ht="57" x14ac:dyDescent="0.25">
      <c r="A164" s="88">
        <v>108</v>
      </c>
      <c r="B164" s="89" t="s">
        <v>5098</v>
      </c>
      <c r="C164" s="25" t="s">
        <v>2</v>
      </c>
      <c r="D164" s="89"/>
      <c r="E164" s="94">
        <v>16804</v>
      </c>
      <c r="F164" s="88">
        <v>4</v>
      </c>
      <c r="G164" s="89" t="s">
        <v>5099</v>
      </c>
      <c r="H164" s="89" t="s">
        <v>4905</v>
      </c>
      <c r="I164" s="89" t="s">
        <v>4734</v>
      </c>
      <c r="J164" s="89" t="s">
        <v>4735</v>
      </c>
      <c r="K164" s="89" t="s">
        <v>6161</v>
      </c>
    </row>
    <row r="165" spans="1:12" ht="57" x14ac:dyDescent="0.25">
      <c r="A165" s="88">
        <v>108</v>
      </c>
      <c r="B165" s="89" t="s">
        <v>5098</v>
      </c>
      <c r="C165" s="25" t="s">
        <v>2</v>
      </c>
      <c r="D165" s="89"/>
      <c r="E165" s="94">
        <v>16650</v>
      </c>
      <c r="F165" s="88">
        <v>4</v>
      </c>
      <c r="G165" s="89" t="s">
        <v>5100</v>
      </c>
      <c r="H165" s="89" t="s">
        <v>4905</v>
      </c>
      <c r="I165" s="89" t="s">
        <v>4734</v>
      </c>
      <c r="J165" s="89" t="s">
        <v>4735</v>
      </c>
      <c r="K165" s="89" t="s">
        <v>6162</v>
      </c>
    </row>
    <row r="166" spans="1:12" ht="57" x14ac:dyDescent="0.25">
      <c r="A166" s="88">
        <v>108</v>
      </c>
      <c r="B166" s="89" t="s">
        <v>5098</v>
      </c>
      <c r="C166" s="25" t="s">
        <v>2</v>
      </c>
      <c r="D166" s="89"/>
      <c r="E166" s="94">
        <v>16804</v>
      </c>
      <c r="F166" s="88">
        <v>4</v>
      </c>
      <c r="G166" s="89" t="s">
        <v>5100</v>
      </c>
      <c r="H166" s="89" t="s">
        <v>4905</v>
      </c>
      <c r="I166" s="89" t="s">
        <v>4734</v>
      </c>
      <c r="J166" s="89" t="s">
        <v>4735</v>
      </c>
      <c r="K166" s="89" t="s">
        <v>6163</v>
      </c>
    </row>
    <row r="167" spans="1:12" ht="57" x14ac:dyDescent="0.25">
      <c r="A167" s="88">
        <v>108</v>
      </c>
      <c r="B167" s="89" t="s">
        <v>5098</v>
      </c>
      <c r="C167" s="25" t="s">
        <v>2</v>
      </c>
      <c r="D167" s="89"/>
      <c r="E167" s="94">
        <v>17174</v>
      </c>
      <c r="F167" s="88">
        <v>4</v>
      </c>
      <c r="G167" s="89" t="s">
        <v>5100</v>
      </c>
      <c r="H167" s="89" t="s">
        <v>4905</v>
      </c>
      <c r="I167" s="89" t="s">
        <v>4734</v>
      </c>
      <c r="J167" s="89" t="s">
        <v>4735</v>
      </c>
      <c r="K167" s="89" t="s">
        <v>6743</v>
      </c>
    </row>
    <row r="168" spans="1:12" ht="57" x14ac:dyDescent="0.25">
      <c r="A168" s="88">
        <v>108</v>
      </c>
      <c r="B168" s="89" t="s">
        <v>5098</v>
      </c>
      <c r="C168" s="25" t="s">
        <v>2</v>
      </c>
      <c r="D168" s="89"/>
      <c r="E168" s="94">
        <v>16804</v>
      </c>
      <c r="F168" s="88">
        <v>4</v>
      </c>
      <c r="G168" s="89" t="s">
        <v>5100</v>
      </c>
      <c r="H168" s="89" t="s">
        <v>2537</v>
      </c>
      <c r="I168" s="89" t="s">
        <v>4734</v>
      </c>
      <c r="J168" s="89" t="s">
        <v>4735</v>
      </c>
      <c r="K168" s="89" t="s">
        <v>6744</v>
      </c>
    </row>
    <row r="169" spans="1:12" ht="57" x14ac:dyDescent="0.25">
      <c r="A169" s="88">
        <v>108</v>
      </c>
      <c r="B169" s="89" t="s">
        <v>5098</v>
      </c>
      <c r="C169" s="25" t="s">
        <v>2</v>
      </c>
      <c r="D169" s="89"/>
      <c r="E169" s="94">
        <v>16804</v>
      </c>
      <c r="F169" s="88">
        <v>4</v>
      </c>
      <c r="G169" s="89" t="s">
        <v>5105</v>
      </c>
      <c r="H169" s="89" t="s">
        <v>4905</v>
      </c>
      <c r="I169" s="89" t="s">
        <v>4734</v>
      </c>
      <c r="J169" s="89" t="s">
        <v>4735</v>
      </c>
      <c r="K169" s="89" t="s">
        <v>6745</v>
      </c>
    </row>
    <row r="170" spans="1:12" ht="57" x14ac:dyDescent="0.25">
      <c r="A170" s="88">
        <v>108</v>
      </c>
      <c r="B170" s="89" t="s">
        <v>5098</v>
      </c>
      <c r="C170" s="25" t="s">
        <v>2</v>
      </c>
      <c r="D170" s="89"/>
      <c r="E170" s="94">
        <v>17174</v>
      </c>
      <c r="F170" s="88">
        <v>4</v>
      </c>
      <c r="G170" s="89" t="s">
        <v>5100</v>
      </c>
      <c r="H170" s="89" t="s">
        <v>4905</v>
      </c>
      <c r="I170" s="89" t="s">
        <v>4734</v>
      </c>
      <c r="J170" s="89" t="s">
        <v>4735</v>
      </c>
      <c r="K170" s="89" t="s">
        <v>6262</v>
      </c>
    </row>
    <row r="171" spans="1:12" ht="61.5" customHeight="1" x14ac:dyDescent="0.25">
      <c r="A171" s="88">
        <v>108</v>
      </c>
      <c r="B171" s="89" t="s">
        <v>5098</v>
      </c>
      <c r="C171" s="25" t="s">
        <v>2</v>
      </c>
      <c r="D171" s="89"/>
      <c r="E171" s="94">
        <v>17174</v>
      </c>
      <c r="F171" s="88">
        <v>4</v>
      </c>
      <c r="G171" s="89" t="s">
        <v>5100</v>
      </c>
      <c r="H171" s="89" t="s">
        <v>4905</v>
      </c>
      <c r="I171" s="89" t="s">
        <v>4734</v>
      </c>
      <c r="J171" s="89" t="s">
        <v>4735</v>
      </c>
      <c r="K171" s="89" t="s">
        <v>6263</v>
      </c>
    </row>
    <row r="172" spans="1:12" ht="62.25" customHeight="1" x14ac:dyDescent="0.25">
      <c r="A172" s="88">
        <v>108</v>
      </c>
      <c r="B172" s="89" t="s">
        <v>5098</v>
      </c>
      <c r="C172" s="25" t="s">
        <v>2</v>
      </c>
      <c r="D172" s="89"/>
      <c r="E172" s="94">
        <v>16804</v>
      </c>
      <c r="F172" s="88">
        <v>4</v>
      </c>
      <c r="G172" s="89" t="s">
        <v>5106</v>
      </c>
      <c r="H172" s="89" t="s">
        <v>5107</v>
      </c>
      <c r="I172" s="89" t="s">
        <v>4734</v>
      </c>
      <c r="J172" s="89" t="s">
        <v>4735</v>
      </c>
      <c r="K172" s="67" t="s">
        <v>6272</v>
      </c>
    </row>
    <row r="173" spans="1:12" ht="62.25" customHeight="1" x14ac:dyDescent="0.25">
      <c r="A173" s="88">
        <v>108</v>
      </c>
      <c r="B173" s="89" t="s">
        <v>5098</v>
      </c>
      <c r="C173" s="25" t="s">
        <v>2</v>
      </c>
      <c r="D173" s="89"/>
      <c r="E173" s="94">
        <v>16790</v>
      </c>
      <c r="F173" s="88">
        <v>4</v>
      </c>
      <c r="G173" s="89" t="s">
        <v>5100</v>
      </c>
      <c r="H173" s="89" t="s">
        <v>4193</v>
      </c>
      <c r="I173" s="89" t="s">
        <v>4734</v>
      </c>
      <c r="J173" s="89" t="s">
        <v>4735</v>
      </c>
      <c r="K173" s="89" t="s">
        <v>6164</v>
      </c>
    </row>
    <row r="174" spans="1:12" ht="63" customHeight="1" x14ac:dyDescent="0.25">
      <c r="A174" s="88">
        <v>108</v>
      </c>
      <c r="B174" s="89" t="s">
        <v>5098</v>
      </c>
      <c r="C174" s="25" t="s">
        <v>2</v>
      </c>
      <c r="D174" s="89"/>
      <c r="E174" s="94">
        <v>17247</v>
      </c>
      <c r="F174" s="88">
        <v>4</v>
      </c>
      <c r="G174" s="89" t="s">
        <v>5100</v>
      </c>
      <c r="H174" s="89" t="s">
        <v>4905</v>
      </c>
      <c r="I174" s="89" t="s">
        <v>4734</v>
      </c>
      <c r="J174" s="89" t="s">
        <v>4735</v>
      </c>
      <c r="K174" s="43" t="s">
        <v>6165</v>
      </c>
      <c r="L174" s="2"/>
    </row>
    <row r="175" spans="1:12" ht="60" customHeight="1" x14ac:dyDescent="0.25">
      <c r="A175" s="88">
        <v>108</v>
      </c>
      <c r="B175" s="89" t="s">
        <v>5098</v>
      </c>
      <c r="C175" s="25" t="s">
        <v>2</v>
      </c>
      <c r="D175" s="89"/>
      <c r="E175" s="94">
        <v>18119</v>
      </c>
      <c r="F175" s="88">
        <v>4</v>
      </c>
      <c r="G175" s="89" t="s">
        <v>3727</v>
      </c>
      <c r="H175" s="89" t="s">
        <v>2939</v>
      </c>
      <c r="I175" s="89" t="s">
        <v>4734</v>
      </c>
      <c r="J175" s="89" t="s">
        <v>3729</v>
      </c>
      <c r="K175" s="89" t="s">
        <v>6166</v>
      </c>
    </row>
    <row r="176" spans="1:12" ht="57" x14ac:dyDescent="0.25">
      <c r="A176" s="88">
        <v>108</v>
      </c>
      <c r="B176" s="89" t="s">
        <v>5098</v>
      </c>
      <c r="C176" s="25" t="s">
        <v>2</v>
      </c>
      <c r="D176" s="89"/>
      <c r="E176" s="94">
        <v>15740</v>
      </c>
      <c r="F176" s="88">
        <v>4</v>
      </c>
      <c r="G176" s="89" t="s">
        <v>5108</v>
      </c>
      <c r="H176" s="89" t="s">
        <v>4193</v>
      </c>
      <c r="I176" s="89" t="s">
        <v>4734</v>
      </c>
      <c r="J176" s="89" t="s">
        <v>4735</v>
      </c>
      <c r="K176" s="25" t="s">
        <v>6746</v>
      </c>
    </row>
    <row r="177" spans="1:11" ht="61.5" customHeight="1" x14ac:dyDescent="0.25">
      <c r="A177" s="88">
        <v>108</v>
      </c>
      <c r="B177" s="89" t="s">
        <v>5098</v>
      </c>
      <c r="C177" s="25" t="s">
        <v>2</v>
      </c>
      <c r="D177" s="89"/>
      <c r="E177" s="94">
        <v>16999</v>
      </c>
      <c r="F177" s="88">
        <v>4</v>
      </c>
      <c r="G177" s="89" t="s">
        <v>5100</v>
      </c>
      <c r="H177" s="89" t="s">
        <v>5101</v>
      </c>
      <c r="I177" s="89" t="s">
        <v>4734</v>
      </c>
      <c r="J177" s="89" t="s">
        <v>4735</v>
      </c>
      <c r="K177" s="67" t="s">
        <v>6273</v>
      </c>
    </row>
    <row r="178" spans="1:11" ht="161.25" customHeight="1" x14ac:dyDescent="0.25">
      <c r="A178" s="88">
        <v>108</v>
      </c>
      <c r="B178" s="89" t="s">
        <v>5109</v>
      </c>
      <c r="C178" s="25" t="s">
        <v>2</v>
      </c>
      <c r="D178" s="89"/>
      <c r="E178" s="94">
        <v>9415</v>
      </c>
      <c r="F178" s="88">
        <v>4</v>
      </c>
      <c r="G178" s="89" t="s">
        <v>5110</v>
      </c>
      <c r="H178" s="89" t="s">
        <v>5111</v>
      </c>
      <c r="I178" s="89" t="s">
        <v>4928</v>
      </c>
      <c r="J178" s="89" t="s">
        <v>4929</v>
      </c>
      <c r="K178" s="89" t="s">
        <v>6167</v>
      </c>
    </row>
    <row r="179" spans="1:11" ht="57" x14ac:dyDescent="0.25">
      <c r="A179" s="88">
        <v>108</v>
      </c>
      <c r="B179" s="89" t="s">
        <v>5098</v>
      </c>
      <c r="C179" s="25" t="s">
        <v>2</v>
      </c>
      <c r="D179" s="89"/>
      <c r="E179" s="94">
        <v>18221</v>
      </c>
      <c r="F179" s="88">
        <v>4</v>
      </c>
      <c r="G179" s="89" t="s">
        <v>5112</v>
      </c>
      <c r="H179" s="89" t="s">
        <v>5107</v>
      </c>
      <c r="I179" s="89" t="s">
        <v>5113</v>
      </c>
      <c r="J179" s="89" t="s">
        <v>5114</v>
      </c>
      <c r="K179" s="89" t="str">
        <f>"00049740"</f>
        <v>00049740</v>
      </c>
    </row>
    <row r="180" spans="1:11" ht="85.5" x14ac:dyDescent="0.25">
      <c r="A180" s="88">
        <v>108</v>
      </c>
      <c r="B180" s="89" t="s">
        <v>5098</v>
      </c>
      <c r="C180" s="25" t="s">
        <v>2</v>
      </c>
      <c r="D180" s="89"/>
      <c r="E180" s="94">
        <v>16873</v>
      </c>
      <c r="F180" s="88">
        <v>4</v>
      </c>
      <c r="G180" s="89" t="s">
        <v>5115</v>
      </c>
      <c r="H180" s="89" t="s">
        <v>5116</v>
      </c>
      <c r="I180" s="89" t="s">
        <v>5117</v>
      </c>
      <c r="J180" s="89" t="s">
        <v>5118</v>
      </c>
      <c r="K180" s="89" t="str">
        <f>"00049689"</f>
        <v>00049689</v>
      </c>
    </row>
    <row r="181" spans="1:11" ht="61.5" customHeight="1" x14ac:dyDescent="0.25">
      <c r="A181" s="88">
        <v>108</v>
      </c>
      <c r="B181" s="89" t="s">
        <v>5098</v>
      </c>
      <c r="C181" s="25" t="s">
        <v>2</v>
      </c>
      <c r="D181" s="89"/>
      <c r="E181" s="94">
        <v>18221</v>
      </c>
      <c r="F181" s="88">
        <v>4</v>
      </c>
      <c r="G181" s="89" t="s">
        <v>5100</v>
      </c>
      <c r="H181" s="89" t="s">
        <v>5107</v>
      </c>
      <c r="I181" s="89" t="s">
        <v>5113</v>
      </c>
      <c r="J181" s="89" t="s">
        <v>5114</v>
      </c>
      <c r="K181" s="89" t="str">
        <f>"00049854"</f>
        <v>00049854</v>
      </c>
    </row>
    <row r="182" spans="1:11" ht="93" customHeight="1" x14ac:dyDescent="0.25">
      <c r="A182" s="88">
        <v>108</v>
      </c>
      <c r="B182" s="89" t="s">
        <v>5098</v>
      </c>
      <c r="C182" s="25" t="s">
        <v>2</v>
      </c>
      <c r="D182" s="89"/>
      <c r="E182" s="94">
        <v>16743</v>
      </c>
      <c r="F182" s="88">
        <v>4</v>
      </c>
      <c r="G182" s="89" t="s">
        <v>5119</v>
      </c>
      <c r="H182" s="89" t="s">
        <v>5120</v>
      </c>
      <c r="I182" s="89" t="s">
        <v>5113</v>
      </c>
      <c r="J182" s="89" t="s">
        <v>5114</v>
      </c>
      <c r="K182" s="89" t="str">
        <f>"00049750"</f>
        <v>00049750</v>
      </c>
    </row>
    <row r="183" spans="1:11" ht="93" customHeight="1" x14ac:dyDescent="0.25">
      <c r="A183" s="88">
        <v>108</v>
      </c>
      <c r="B183" s="89" t="s">
        <v>5121</v>
      </c>
      <c r="C183" s="25" t="s">
        <v>2</v>
      </c>
      <c r="D183" s="89"/>
      <c r="E183" s="94">
        <v>19542</v>
      </c>
      <c r="F183" s="88">
        <v>4</v>
      </c>
      <c r="G183" s="89" t="s">
        <v>5122</v>
      </c>
      <c r="H183" s="89" t="s">
        <v>5123</v>
      </c>
      <c r="I183" s="89" t="s">
        <v>4928</v>
      </c>
      <c r="J183" s="89" t="s">
        <v>4929</v>
      </c>
      <c r="K183" s="89" t="s">
        <v>6168</v>
      </c>
    </row>
    <row r="184" spans="1:11" ht="20.100000000000001" customHeight="1" x14ac:dyDescent="0.25">
      <c r="A184" s="152" t="s">
        <v>6169</v>
      </c>
      <c r="B184" s="153"/>
      <c r="C184" s="153"/>
      <c r="D184" s="153"/>
      <c r="E184" s="94">
        <f>SUM(E156:E183)</f>
        <v>477441</v>
      </c>
      <c r="F184" s="145"/>
      <c r="G184" s="145"/>
      <c r="H184" s="145"/>
      <c r="I184" s="145"/>
      <c r="J184" s="145"/>
      <c r="K184" s="145"/>
    </row>
    <row r="185" spans="1:11" ht="15.75" customHeight="1" x14ac:dyDescent="0.25">
      <c r="A185" s="163" t="s">
        <v>5146</v>
      </c>
      <c r="B185" s="163"/>
      <c r="C185" s="163"/>
      <c r="D185" s="163"/>
      <c r="E185" s="163"/>
      <c r="F185" s="163"/>
      <c r="G185" s="163"/>
      <c r="H185" s="163"/>
      <c r="I185" s="163"/>
      <c r="J185" s="163"/>
      <c r="K185" s="163"/>
    </row>
    <row r="186" spans="1:11" ht="28.5" x14ac:dyDescent="0.25">
      <c r="A186" s="88">
        <v>108</v>
      </c>
      <c r="B186" s="89" t="s">
        <v>12</v>
      </c>
      <c r="C186" s="25" t="s">
        <v>2</v>
      </c>
      <c r="D186" s="94">
        <v>4109000</v>
      </c>
      <c r="E186" s="89"/>
      <c r="F186" s="88">
        <v>4</v>
      </c>
      <c r="G186" s="89" t="s">
        <v>52</v>
      </c>
      <c r="H186" s="89"/>
      <c r="I186" s="89" t="s">
        <v>4696</v>
      </c>
      <c r="J186" s="89"/>
      <c r="K186" s="89" t="str">
        <f>"　"</f>
        <v>　</v>
      </c>
    </row>
    <row r="187" spans="1:11" ht="57" x14ac:dyDescent="0.25">
      <c r="A187" s="88">
        <v>108</v>
      </c>
      <c r="B187" s="89" t="s">
        <v>437</v>
      </c>
      <c r="C187" s="25" t="s">
        <v>2</v>
      </c>
      <c r="D187" s="89"/>
      <c r="E187" s="94">
        <v>46471</v>
      </c>
      <c r="F187" s="88">
        <v>4</v>
      </c>
      <c r="G187" s="89" t="s">
        <v>5140</v>
      </c>
      <c r="H187" s="89" t="s">
        <v>5141</v>
      </c>
      <c r="I187" s="89" t="s">
        <v>4699</v>
      </c>
      <c r="J187" s="89" t="s">
        <v>72</v>
      </c>
      <c r="K187" s="89" t="s">
        <v>6275</v>
      </c>
    </row>
    <row r="188" spans="1:11" ht="57" x14ac:dyDescent="0.25">
      <c r="A188" s="88">
        <v>108</v>
      </c>
      <c r="B188" s="89" t="s">
        <v>5142</v>
      </c>
      <c r="C188" s="25" t="s">
        <v>2</v>
      </c>
      <c r="D188" s="89"/>
      <c r="E188" s="94">
        <v>33499</v>
      </c>
      <c r="F188" s="88">
        <v>4</v>
      </c>
      <c r="G188" s="89" t="s">
        <v>5143</v>
      </c>
      <c r="H188" s="89" t="s">
        <v>5141</v>
      </c>
      <c r="I188" s="89" t="s">
        <v>4699</v>
      </c>
      <c r="J188" s="89" t="s">
        <v>72</v>
      </c>
      <c r="K188" s="89" t="s">
        <v>6274</v>
      </c>
    </row>
    <row r="189" spans="1:11" ht="85.5" x14ac:dyDescent="0.25">
      <c r="A189" s="88">
        <v>108</v>
      </c>
      <c r="B189" s="89" t="s">
        <v>3749</v>
      </c>
      <c r="C189" s="25" t="s">
        <v>2</v>
      </c>
      <c r="D189" s="89"/>
      <c r="E189" s="94">
        <v>32680</v>
      </c>
      <c r="F189" s="88">
        <v>4</v>
      </c>
      <c r="G189" s="89" t="s">
        <v>5144</v>
      </c>
      <c r="H189" s="89" t="s">
        <v>5145</v>
      </c>
      <c r="I189" s="89" t="s">
        <v>4831</v>
      </c>
      <c r="J189" s="89" t="s">
        <v>4832</v>
      </c>
      <c r="K189" s="89" t="s">
        <v>6264</v>
      </c>
    </row>
    <row r="190" spans="1:11" ht="63" customHeight="1" x14ac:dyDescent="0.25">
      <c r="A190" s="88">
        <v>108</v>
      </c>
      <c r="B190" s="89" t="s">
        <v>5155</v>
      </c>
      <c r="C190" s="25" t="s">
        <v>2</v>
      </c>
      <c r="D190" s="89"/>
      <c r="E190" s="94">
        <v>50663</v>
      </c>
      <c r="F190" s="88">
        <v>4</v>
      </c>
      <c r="G190" s="89" t="s">
        <v>5155</v>
      </c>
      <c r="H190" s="89" t="s">
        <v>5156</v>
      </c>
      <c r="I190" s="89" t="s">
        <v>71</v>
      </c>
      <c r="J190" s="89" t="s">
        <v>4885</v>
      </c>
      <c r="K190" s="89" t="str">
        <f>"00048570"</f>
        <v>00048570</v>
      </c>
    </row>
    <row r="191" spans="1:11" ht="27" customHeight="1" x14ac:dyDescent="0.25">
      <c r="A191" s="152" t="s">
        <v>6170</v>
      </c>
      <c r="B191" s="153"/>
      <c r="C191" s="153"/>
      <c r="D191" s="153"/>
      <c r="E191" s="94">
        <f>SUM(E186:E190)</f>
        <v>163313</v>
      </c>
      <c r="F191" s="145"/>
      <c r="G191" s="145"/>
      <c r="H191" s="145"/>
      <c r="I191" s="145"/>
      <c r="J191" s="145"/>
      <c r="K191" s="145"/>
    </row>
    <row r="192" spans="1:11" ht="15.75" customHeight="1" x14ac:dyDescent="0.25">
      <c r="A192" s="163" t="s">
        <v>5160</v>
      </c>
      <c r="B192" s="163"/>
      <c r="C192" s="163"/>
      <c r="D192" s="163"/>
      <c r="E192" s="163"/>
      <c r="F192" s="163"/>
      <c r="G192" s="163"/>
      <c r="H192" s="163"/>
      <c r="I192" s="163"/>
      <c r="J192" s="163"/>
      <c r="K192" s="163"/>
    </row>
    <row r="193" spans="1:11" ht="28.5" x14ac:dyDescent="0.25">
      <c r="A193" s="88">
        <v>108</v>
      </c>
      <c r="B193" s="89" t="s">
        <v>12</v>
      </c>
      <c r="C193" s="25" t="s">
        <v>2</v>
      </c>
      <c r="D193" s="94">
        <v>4109000</v>
      </c>
      <c r="E193" s="89"/>
      <c r="F193" s="88">
        <v>4</v>
      </c>
      <c r="G193" s="89" t="s">
        <v>52</v>
      </c>
      <c r="H193" s="89"/>
      <c r="I193" s="89" t="s">
        <v>4696</v>
      </c>
      <c r="J193" s="89"/>
      <c r="K193" s="89" t="str">
        <f>"　"</f>
        <v>　</v>
      </c>
    </row>
    <row r="194" spans="1:11" ht="42.75" x14ac:dyDescent="0.25">
      <c r="A194" s="88">
        <v>108</v>
      </c>
      <c r="B194" s="89" t="s">
        <v>5161</v>
      </c>
      <c r="C194" s="25" t="s">
        <v>2</v>
      </c>
      <c r="D194" s="89"/>
      <c r="E194" s="94">
        <v>16125</v>
      </c>
      <c r="F194" s="88">
        <v>4</v>
      </c>
      <c r="G194" s="89" t="s">
        <v>5162</v>
      </c>
      <c r="H194" s="89" t="s">
        <v>1609</v>
      </c>
      <c r="I194" s="89" t="s">
        <v>4721</v>
      </c>
      <c r="J194" s="89" t="s">
        <v>4282</v>
      </c>
      <c r="K194" s="89" t="s">
        <v>6171</v>
      </c>
    </row>
    <row r="195" spans="1:11" ht="42.75" x14ac:dyDescent="0.25">
      <c r="A195" s="88">
        <v>108</v>
      </c>
      <c r="B195" s="89" t="s">
        <v>3848</v>
      </c>
      <c r="C195" s="25" t="s">
        <v>2</v>
      </c>
      <c r="D195" s="89"/>
      <c r="E195" s="94">
        <v>15075</v>
      </c>
      <c r="F195" s="88">
        <v>4</v>
      </c>
      <c r="G195" s="89" t="s">
        <v>5162</v>
      </c>
      <c r="H195" s="89" t="s">
        <v>1609</v>
      </c>
      <c r="I195" s="89" t="s">
        <v>4721</v>
      </c>
      <c r="J195" s="89" t="s">
        <v>4282</v>
      </c>
      <c r="K195" s="89" t="s">
        <v>6172</v>
      </c>
    </row>
    <row r="196" spans="1:11" ht="57" x14ac:dyDescent="0.25">
      <c r="A196" s="88">
        <v>108</v>
      </c>
      <c r="B196" s="89" t="s">
        <v>5163</v>
      </c>
      <c r="C196" s="25" t="s">
        <v>2</v>
      </c>
      <c r="D196" s="89"/>
      <c r="E196" s="94">
        <v>32316</v>
      </c>
      <c r="F196" s="88">
        <v>4</v>
      </c>
      <c r="G196" s="89" t="s">
        <v>5164</v>
      </c>
      <c r="H196" s="89" t="s">
        <v>2379</v>
      </c>
      <c r="I196" s="89" t="s">
        <v>5165</v>
      </c>
      <c r="J196" s="89" t="s">
        <v>5166</v>
      </c>
      <c r="K196" s="89" t="str">
        <f>"00050130"</f>
        <v>00050130</v>
      </c>
    </row>
    <row r="197" spans="1:11" x14ac:dyDescent="0.25">
      <c r="A197" s="152" t="s">
        <v>6173</v>
      </c>
      <c r="B197" s="153"/>
      <c r="C197" s="153"/>
      <c r="D197" s="153"/>
      <c r="E197" s="94">
        <f>SUM(E193:E196)</f>
        <v>63516</v>
      </c>
      <c r="F197" s="145"/>
      <c r="G197" s="145"/>
      <c r="H197" s="145"/>
      <c r="I197" s="145"/>
      <c r="J197" s="145"/>
      <c r="K197" s="145"/>
    </row>
    <row r="198" spans="1:11" ht="15.75" customHeight="1" x14ac:dyDescent="0.25">
      <c r="A198" s="163" t="s">
        <v>5179</v>
      </c>
      <c r="B198" s="163"/>
      <c r="C198" s="163"/>
      <c r="D198" s="163"/>
      <c r="E198" s="163"/>
      <c r="F198" s="163"/>
      <c r="G198" s="163"/>
      <c r="H198" s="163"/>
      <c r="I198" s="163"/>
      <c r="J198" s="163"/>
      <c r="K198" s="163"/>
    </row>
    <row r="199" spans="1:11" ht="28.5" x14ac:dyDescent="0.25">
      <c r="A199" s="88">
        <v>108</v>
      </c>
      <c r="B199" s="89" t="s">
        <v>12</v>
      </c>
      <c r="C199" s="25" t="s">
        <v>2</v>
      </c>
      <c r="D199" s="94">
        <v>4109000</v>
      </c>
      <c r="E199" s="89"/>
      <c r="F199" s="88">
        <v>4</v>
      </c>
      <c r="G199" s="89" t="s">
        <v>52</v>
      </c>
      <c r="H199" s="89"/>
      <c r="I199" s="89" t="s">
        <v>4696</v>
      </c>
      <c r="J199" s="89"/>
      <c r="K199" s="89" t="str">
        <f>"　"</f>
        <v>　</v>
      </c>
    </row>
    <row r="200" spans="1:11" ht="57" x14ac:dyDescent="0.25">
      <c r="A200" s="88">
        <v>108</v>
      </c>
      <c r="B200" s="89" t="s">
        <v>4200</v>
      </c>
      <c r="C200" s="25" t="s">
        <v>2</v>
      </c>
      <c r="D200" s="89"/>
      <c r="E200" s="94">
        <v>24597</v>
      </c>
      <c r="F200" s="88">
        <v>4</v>
      </c>
      <c r="G200" s="89" t="s">
        <v>5180</v>
      </c>
      <c r="H200" s="89" t="s">
        <v>5181</v>
      </c>
      <c r="I200" s="89" t="s">
        <v>71</v>
      </c>
      <c r="J200" s="89" t="s">
        <v>4699</v>
      </c>
      <c r="K200" s="89" t="str">
        <f>"00046687"</f>
        <v>00046687</v>
      </c>
    </row>
    <row r="201" spans="1:11" ht="57" x14ac:dyDescent="0.25">
      <c r="A201" s="88">
        <v>108</v>
      </c>
      <c r="B201" s="89" t="s">
        <v>4200</v>
      </c>
      <c r="C201" s="25" t="s">
        <v>2</v>
      </c>
      <c r="D201" s="89"/>
      <c r="E201" s="94">
        <v>24844</v>
      </c>
      <c r="F201" s="88">
        <v>4</v>
      </c>
      <c r="G201" s="89" t="s">
        <v>5180</v>
      </c>
      <c r="H201" s="89" t="s">
        <v>5181</v>
      </c>
      <c r="I201" s="89" t="s">
        <v>71</v>
      </c>
      <c r="J201" s="89" t="s">
        <v>5182</v>
      </c>
      <c r="K201" s="89" t="str">
        <f>"00046690"</f>
        <v>00046690</v>
      </c>
    </row>
    <row r="202" spans="1:11" x14ac:dyDescent="0.25">
      <c r="A202" s="148" t="s">
        <v>6174</v>
      </c>
      <c r="B202" s="149"/>
      <c r="C202" s="149"/>
      <c r="D202" s="149"/>
      <c r="E202" s="94">
        <f>SUM(E199:E201)</f>
        <v>49441</v>
      </c>
      <c r="F202" s="145"/>
      <c r="G202" s="145"/>
      <c r="H202" s="145"/>
      <c r="I202" s="145"/>
      <c r="J202" s="145"/>
      <c r="K202" s="145"/>
    </row>
    <row r="203" spans="1:11" x14ac:dyDescent="0.25">
      <c r="A203" s="156" t="s">
        <v>5189</v>
      </c>
      <c r="B203" s="157"/>
      <c r="C203" s="157"/>
      <c r="D203" s="157"/>
      <c r="E203" s="150"/>
      <c r="F203" s="150"/>
      <c r="G203" s="150"/>
      <c r="H203" s="150"/>
      <c r="I203" s="150"/>
      <c r="J203" s="150"/>
      <c r="K203" s="150"/>
    </row>
    <row r="204" spans="1:11" ht="28.5" x14ac:dyDescent="0.25">
      <c r="A204" s="35">
        <v>108</v>
      </c>
      <c r="B204" s="34" t="s">
        <v>12</v>
      </c>
      <c r="C204" s="122" t="s">
        <v>2</v>
      </c>
      <c r="D204" s="65">
        <v>4109000</v>
      </c>
      <c r="E204" s="34"/>
      <c r="F204" s="35">
        <v>4</v>
      </c>
      <c r="G204" s="34" t="s">
        <v>52</v>
      </c>
      <c r="H204" s="34"/>
      <c r="I204" s="34" t="s">
        <v>4696</v>
      </c>
      <c r="J204" s="34"/>
      <c r="K204" s="34"/>
    </row>
    <row r="205" spans="1:11" ht="142.5" x14ac:dyDescent="0.25">
      <c r="A205" s="35">
        <v>108</v>
      </c>
      <c r="B205" s="34" t="s">
        <v>6280</v>
      </c>
      <c r="C205" s="122" t="s">
        <v>6281</v>
      </c>
      <c r="D205" s="34"/>
      <c r="E205" s="65">
        <v>6014</v>
      </c>
      <c r="F205" s="35">
        <v>4</v>
      </c>
      <c r="G205" s="34" t="s">
        <v>6282</v>
      </c>
      <c r="H205" s="34" t="s">
        <v>6283</v>
      </c>
      <c r="I205" s="34" t="s">
        <v>6284</v>
      </c>
      <c r="J205" s="34" t="s">
        <v>6285</v>
      </c>
      <c r="K205" s="63" t="s">
        <v>6279</v>
      </c>
    </row>
    <row r="206" spans="1:11" ht="128.25" x14ac:dyDescent="0.25">
      <c r="A206" s="35">
        <v>108</v>
      </c>
      <c r="B206" s="34" t="s">
        <v>640</v>
      </c>
      <c r="C206" s="122" t="s">
        <v>2</v>
      </c>
      <c r="D206" s="34"/>
      <c r="E206" s="65">
        <v>3473</v>
      </c>
      <c r="F206" s="35">
        <v>4</v>
      </c>
      <c r="G206" s="34" t="s">
        <v>5193</v>
      </c>
      <c r="H206" s="34" t="s">
        <v>2296</v>
      </c>
      <c r="I206" s="34" t="s">
        <v>5057</v>
      </c>
      <c r="J206" s="34" t="s">
        <v>5194</v>
      </c>
      <c r="K206" s="63" t="s">
        <v>5202</v>
      </c>
    </row>
    <row r="207" spans="1:11" ht="156.75" x14ac:dyDescent="0.25">
      <c r="A207" s="35">
        <v>108</v>
      </c>
      <c r="B207" s="34" t="s">
        <v>5195</v>
      </c>
      <c r="C207" s="122" t="s">
        <v>2</v>
      </c>
      <c r="D207" s="34"/>
      <c r="E207" s="65">
        <v>6406</v>
      </c>
      <c r="F207" s="35">
        <v>4</v>
      </c>
      <c r="G207" s="34" t="s">
        <v>5196</v>
      </c>
      <c r="H207" s="34" t="s">
        <v>5190</v>
      </c>
      <c r="I207" s="34" t="s">
        <v>71</v>
      </c>
      <c r="J207" s="34" t="s">
        <v>5192</v>
      </c>
      <c r="K207" s="63" t="s">
        <v>6175</v>
      </c>
    </row>
    <row r="208" spans="1:11" ht="57" x14ac:dyDescent="0.25">
      <c r="A208" s="35">
        <v>108</v>
      </c>
      <c r="B208" s="34" t="s">
        <v>5197</v>
      </c>
      <c r="C208" s="122" t="s">
        <v>2</v>
      </c>
      <c r="D208" s="34"/>
      <c r="E208" s="65">
        <v>22321</v>
      </c>
      <c r="F208" s="35">
        <v>4</v>
      </c>
      <c r="G208" s="34" t="s">
        <v>5198</v>
      </c>
      <c r="H208" s="34" t="s">
        <v>2339</v>
      </c>
      <c r="I208" s="34" t="s">
        <v>71</v>
      </c>
      <c r="J208" s="34" t="s">
        <v>4174</v>
      </c>
      <c r="K208" s="63" t="s">
        <v>5203</v>
      </c>
    </row>
    <row r="209" spans="1:11" ht="142.5" x14ac:dyDescent="0.25">
      <c r="A209" s="35">
        <v>107</v>
      </c>
      <c r="B209" s="34" t="s">
        <v>5199</v>
      </c>
      <c r="C209" s="122" t="s">
        <v>2</v>
      </c>
      <c r="D209" s="34"/>
      <c r="E209" s="65">
        <v>7008</v>
      </c>
      <c r="F209" s="35">
        <v>4</v>
      </c>
      <c r="G209" s="34" t="s">
        <v>5200</v>
      </c>
      <c r="H209" s="34" t="s">
        <v>5201</v>
      </c>
      <c r="I209" s="34" t="s">
        <v>71</v>
      </c>
      <c r="J209" s="34" t="s">
        <v>4282</v>
      </c>
      <c r="K209" s="63" t="s">
        <v>6176</v>
      </c>
    </row>
    <row r="210" spans="1:11" x14ac:dyDescent="0.25">
      <c r="A210" s="147" t="s">
        <v>6177</v>
      </c>
      <c r="B210" s="147"/>
      <c r="C210" s="147"/>
      <c r="D210" s="147"/>
      <c r="E210" s="126">
        <f>SUM(E204:E209)</f>
        <v>45222</v>
      </c>
      <c r="F210" s="137"/>
      <c r="G210" s="137"/>
      <c r="H210" s="137"/>
      <c r="I210" s="137"/>
      <c r="J210" s="137"/>
      <c r="K210" s="137"/>
    </row>
    <row r="211" spans="1:11" x14ac:dyDescent="0.25">
      <c r="A211" s="147" t="s">
        <v>5228</v>
      </c>
      <c r="B211" s="147"/>
      <c r="C211" s="147"/>
      <c r="D211" s="147"/>
      <c r="E211" s="158"/>
      <c r="F211" s="158"/>
      <c r="G211" s="158"/>
      <c r="H211" s="158"/>
      <c r="I211" s="158"/>
      <c r="J211" s="158"/>
      <c r="K211" s="158"/>
    </row>
    <row r="212" spans="1:11" ht="28.5" x14ac:dyDescent="0.25">
      <c r="A212" s="37">
        <v>108</v>
      </c>
      <c r="B212" s="38" t="s">
        <v>12</v>
      </c>
      <c r="C212" s="123" t="s">
        <v>2</v>
      </c>
      <c r="D212" s="66">
        <v>4109000</v>
      </c>
      <c r="E212" s="38"/>
      <c r="F212" s="37">
        <v>4</v>
      </c>
      <c r="G212" s="38" t="s">
        <v>52</v>
      </c>
      <c r="H212" s="38"/>
      <c r="I212" s="38" t="s">
        <v>4696</v>
      </c>
      <c r="J212" s="38"/>
      <c r="K212" s="38">
        <v>0</v>
      </c>
    </row>
    <row r="213" spans="1:11" ht="42.75" x14ac:dyDescent="0.25">
      <c r="A213" s="37">
        <v>108</v>
      </c>
      <c r="B213" s="38" t="s">
        <v>5218</v>
      </c>
      <c r="C213" s="123" t="s">
        <v>2</v>
      </c>
      <c r="D213" s="38"/>
      <c r="E213" s="66">
        <v>10387</v>
      </c>
      <c r="F213" s="37">
        <v>4</v>
      </c>
      <c r="G213" s="38" t="s">
        <v>5219</v>
      </c>
      <c r="H213" s="38" t="s">
        <v>5220</v>
      </c>
      <c r="I213" s="38" t="s">
        <v>4721</v>
      </c>
      <c r="J213" s="38" t="s">
        <v>4282</v>
      </c>
      <c r="K213" s="38">
        <v>0</v>
      </c>
    </row>
    <row r="214" spans="1:11" ht="42.75" x14ac:dyDescent="0.25">
      <c r="A214" s="37">
        <v>108</v>
      </c>
      <c r="B214" s="38" t="s">
        <v>2897</v>
      </c>
      <c r="C214" s="123" t="s">
        <v>2</v>
      </c>
      <c r="D214" s="38"/>
      <c r="E214" s="66">
        <v>5180</v>
      </c>
      <c r="F214" s="37">
        <v>4</v>
      </c>
      <c r="G214" s="38" t="s">
        <v>5221</v>
      </c>
      <c r="H214" s="38" t="s">
        <v>5222</v>
      </c>
      <c r="I214" s="38" t="s">
        <v>4722</v>
      </c>
      <c r="J214" s="38" t="s">
        <v>76</v>
      </c>
      <c r="K214" s="38">
        <v>0</v>
      </c>
    </row>
    <row r="215" spans="1:11" ht="42.75" x14ac:dyDescent="0.25">
      <c r="A215" s="37">
        <v>108</v>
      </c>
      <c r="B215" s="38" t="s">
        <v>2897</v>
      </c>
      <c r="C215" s="123" t="s">
        <v>2</v>
      </c>
      <c r="D215" s="38"/>
      <c r="E215" s="66">
        <v>11634</v>
      </c>
      <c r="F215" s="37">
        <v>4</v>
      </c>
      <c r="G215" s="38" t="s">
        <v>5223</v>
      </c>
      <c r="H215" s="38" t="s">
        <v>5224</v>
      </c>
      <c r="I215" s="38" t="s">
        <v>4727</v>
      </c>
      <c r="J215" s="38" t="s">
        <v>4728</v>
      </c>
      <c r="K215" s="38">
        <v>0</v>
      </c>
    </row>
    <row r="216" spans="1:11" ht="42.75" x14ac:dyDescent="0.25">
      <c r="A216" s="37">
        <v>108</v>
      </c>
      <c r="B216" s="38" t="s">
        <v>2877</v>
      </c>
      <c r="C216" s="123" t="s">
        <v>2</v>
      </c>
      <c r="D216" s="38"/>
      <c r="E216" s="66">
        <v>14942</v>
      </c>
      <c r="F216" s="37">
        <v>4</v>
      </c>
      <c r="G216" s="38" t="s">
        <v>5225</v>
      </c>
      <c r="H216" s="38" t="s">
        <v>5226</v>
      </c>
      <c r="I216" s="38" t="s">
        <v>4831</v>
      </c>
      <c r="J216" s="38" t="s">
        <v>4885</v>
      </c>
      <c r="K216" s="38">
        <v>0</v>
      </c>
    </row>
    <row r="217" spans="1:11" ht="42.75" x14ac:dyDescent="0.25">
      <c r="A217" s="37">
        <v>108</v>
      </c>
      <c r="B217" s="38" t="s">
        <v>2877</v>
      </c>
      <c r="C217" s="123" t="s">
        <v>2</v>
      </c>
      <c r="D217" s="38"/>
      <c r="E217" s="66">
        <v>38494</v>
      </c>
      <c r="F217" s="37">
        <v>4</v>
      </c>
      <c r="G217" s="38" t="s">
        <v>5227</v>
      </c>
      <c r="H217" s="38" t="s">
        <v>5095</v>
      </c>
      <c r="I217" s="38" t="s">
        <v>4891</v>
      </c>
      <c r="J217" s="38" t="s">
        <v>4892</v>
      </c>
      <c r="K217" s="38">
        <v>0</v>
      </c>
    </row>
    <row r="218" spans="1:11" ht="28.5" x14ac:dyDescent="0.25">
      <c r="A218" s="88">
        <v>108</v>
      </c>
      <c r="B218" s="89" t="s">
        <v>12</v>
      </c>
      <c r="C218" s="25" t="s">
        <v>2</v>
      </c>
      <c r="D218" s="94">
        <v>4109000</v>
      </c>
      <c r="E218" s="89"/>
      <c r="F218" s="88">
        <v>4</v>
      </c>
      <c r="G218" s="89" t="s">
        <v>52</v>
      </c>
      <c r="H218" s="89"/>
      <c r="I218" s="89" t="s">
        <v>4696</v>
      </c>
      <c r="J218" s="89"/>
      <c r="K218" s="89" t="str">
        <f>"　"</f>
        <v>　</v>
      </c>
    </row>
    <row r="219" spans="1:11" ht="42.75" x14ac:dyDescent="0.25">
      <c r="A219" s="88">
        <v>108</v>
      </c>
      <c r="B219" s="89" t="s">
        <v>5568</v>
      </c>
      <c r="C219" s="25" t="s">
        <v>2</v>
      </c>
      <c r="D219" s="89"/>
      <c r="E219" s="94">
        <v>8382</v>
      </c>
      <c r="F219" s="88">
        <v>4</v>
      </c>
      <c r="G219" s="89" t="s">
        <v>5568</v>
      </c>
      <c r="H219" s="89" t="s">
        <v>5235</v>
      </c>
      <c r="I219" s="89" t="s">
        <v>71</v>
      </c>
      <c r="J219" s="89" t="s">
        <v>4892</v>
      </c>
      <c r="K219" s="89" t="str">
        <f>"00052788"</f>
        <v>00052788</v>
      </c>
    </row>
    <row r="220" spans="1:11" x14ac:dyDescent="0.25">
      <c r="A220" s="146" t="s">
        <v>6178</v>
      </c>
      <c r="B220" s="146"/>
      <c r="C220" s="146"/>
      <c r="D220" s="146"/>
      <c r="E220" s="94">
        <f>SUM(E212:E219)</f>
        <v>89019</v>
      </c>
      <c r="F220" s="145"/>
      <c r="G220" s="145"/>
      <c r="H220" s="145"/>
      <c r="I220" s="145"/>
      <c r="J220" s="145"/>
      <c r="K220" s="145"/>
    </row>
    <row r="221" spans="1:11" ht="15.75" customHeight="1" x14ac:dyDescent="0.25">
      <c r="A221" s="146" t="s">
        <v>5242</v>
      </c>
      <c r="B221" s="146"/>
      <c r="C221" s="146"/>
      <c r="D221" s="146"/>
      <c r="E221" s="146"/>
      <c r="F221" s="146"/>
      <c r="G221" s="146"/>
      <c r="H221" s="146"/>
      <c r="I221" s="146"/>
      <c r="J221" s="146"/>
      <c r="K221" s="146"/>
    </row>
    <row r="222" spans="1:11" ht="28.5" x14ac:dyDescent="0.25">
      <c r="A222" s="88">
        <v>108</v>
      </c>
      <c r="B222" s="89" t="s">
        <v>12</v>
      </c>
      <c r="C222" s="25" t="s">
        <v>2</v>
      </c>
      <c r="D222" s="94">
        <v>4109000</v>
      </c>
      <c r="E222" s="89"/>
      <c r="F222" s="88">
        <v>4</v>
      </c>
      <c r="G222" s="89" t="s">
        <v>52</v>
      </c>
      <c r="H222" s="89"/>
      <c r="I222" s="89" t="s">
        <v>4696</v>
      </c>
      <c r="J222" s="89"/>
      <c r="K222" s="89" t="str">
        <f>"　"</f>
        <v>　</v>
      </c>
    </row>
    <row r="223" spans="1:11" ht="71.25" x14ac:dyDescent="0.25">
      <c r="A223" s="88">
        <v>108</v>
      </c>
      <c r="B223" s="89" t="s">
        <v>702</v>
      </c>
      <c r="C223" s="25" t="s">
        <v>2</v>
      </c>
      <c r="D223" s="89"/>
      <c r="E223" s="68">
        <v>21811</v>
      </c>
      <c r="F223" s="88">
        <v>4</v>
      </c>
      <c r="G223" s="89" t="s">
        <v>5243</v>
      </c>
      <c r="H223" s="89" t="s">
        <v>5244</v>
      </c>
      <c r="I223" s="89" t="s">
        <v>4699</v>
      </c>
      <c r="J223" s="89" t="s">
        <v>72</v>
      </c>
      <c r="K223" s="89" t="str">
        <f>"00048340"</f>
        <v>00048340</v>
      </c>
    </row>
    <row r="224" spans="1:11" ht="71.25" x14ac:dyDescent="0.25">
      <c r="A224" s="88">
        <v>108</v>
      </c>
      <c r="B224" s="89" t="s">
        <v>702</v>
      </c>
      <c r="C224" s="25" t="s">
        <v>2</v>
      </c>
      <c r="D224" s="89"/>
      <c r="E224" s="68">
        <v>38692</v>
      </c>
      <c r="F224" s="88">
        <v>4</v>
      </c>
      <c r="G224" s="89" t="s">
        <v>5245</v>
      </c>
      <c r="H224" s="89" t="s">
        <v>5246</v>
      </c>
      <c r="I224" s="89" t="s">
        <v>4721</v>
      </c>
      <c r="J224" s="89" t="s">
        <v>4282</v>
      </c>
      <c r="K224" s="89" t="str">
        <f>"00048409"</f>
        <v>00048409</v>
      </c>
    </row>
    <row r="225" spans="1:11" ht="42.75" x14ac:dyDescent="0.25">
      <c r="A225" s="88">
        <v>108</v>
      </c>
      <c r="B225" s="89" t="s">
        <v>5247</v>
      </c>
      <c r="C225" s="25" t="s">
        <v>2</v>
      </c>
      <c r="D225" s="89"/>
      <c r="E225" s="29">
        <v>41706</v>
      </c>
      <c r="F225" s="88">
        <v>4</v>
      </c>
      <c r="G225" s="89" t="s">
        <v>5247</v>
      </c>
      <c r="H225" s="89" t="s">
        <v>5248</v>
      </c>
      <c r="I225" s="89" t="s">
        <v>71</v>
      </c>
      <c r="J225" s="89" t="s">
        <v>76</v>
      </c>
      <c r="K225" s="89" t="str">
        <f>"00051582"</f>
        <v>00051582</v>
      </c>
    </row>
    <row r="226" spans="1:11" ht="42.75" x14ac:dyDescent="0.25">
      <c r="A226" s="88">
        <v>108</v>
      </c>
      <c r="B226" s="89" t="s">
        <v>702</v>
      </c>
      <c r="C226" s="25" t="s">
        <v>2</v>
      </c>
      <c r="D226" s="89"/>
      <c r="E226" s="68">
        <v>33364</v>
      </c>
      <c r="F226" s="88">
        <v>4</v>
      </c>
      <c r="G226" s="89" t="s">
        <v>5249</v>
      </c>
      <c r="H226" s="89" t="s">
        <v>5244</v>
      </c>
      <c r="I226" s="89" t="s">
        <v>4699</v>
      </c>
      <c r="J226" s="89" t="s">
        <v>72</v>
      </c>
      <c r="K226" s="89" t="str">
        <f>"00048434"</f>
        <v>00048434</v>
      </c>
    </row>
    <row r="227" spans="1:11" ht="42.75" x14ac:dyDescent="0.25">
      <c r="A227" s="88">
        <v>108</v>
      </c>
      <c r="B227" s="89" t="s">
        <v>3023</v>
      </c>
      <c r="C227" s="25" t="s">
        <v>2</v>
      </c>
      <c r="D227" s="89"/>
      <c r="E227" s="68">
        <v>36984</v>
      </c>
      <c r="F227" s="88">
        <v>4</v>
      </c>
      <c r="G227" s="89" t="s">
        <v>5250</v>
      </c>
      <c r="H227" s="89" t="s">
        <v>5251</v>
      </c>
      <c r="I227" s="89" t="s">
        <v>5252</v>
      </c>
      <c r="J227" s="89" t="s">
        <v>5253</v>
      </c>
      <c r="K227" s="89" t="str">
        <f>"00051496"</f>
        <v>00051496</v>
      </c>
    </row>
    <row r="228" spans="1:11" ht="42.75" x14ac:dyDescent="0.25">
      <c r="A228" s="88">
        <v>108</v>
      </c>
      <c r="B228" s="89" t="s">
        <v>702</v>
      </c>
      <c r="C228" s="25" t="s">
        <v>2</v>
      </c>
      <c r="D228" s="89"/>
      <c r="E228" s="68">
        <v>35059</v>
      </c>
      <c r="F228" s="88">
        <v>4</v>
      </c>
      <c r="G228" s="89" t="s">
        <v>5249</v>
      </c>
      <c r="H228" s="89" t="s">
        <v>5244</v>
      </c>
      <c r="I228" s="89" t="s">
        <v>4699</v>
      </c>
      <c r="J228" s="89" t="s">
        <v>72</v>
      </c>
      <c r="K228" s="89" t="str">
        <f>"00050172"</f>
        <v>00050172</v>
      </c>
    </row>
    <row r="229" spans="1:11" ht="71.25" x14ac:dyDescent="0.25">
      <c r="A229" s="88">
        <v>108</v>
      </c>
      <c r="B229" s="89" t="s">
        <v>5569</v>
      </c>
      <c r="C229" s="25" t="s">
        <v>2</v>
      </c>
      <c r="D229" s="89"/>
      <c r="E229" s="46">
        <v>52915</v>
      </c>
      <c r="F229" s="88">
        <v>4</v>
      </c>
      <c r="G229" s="89" t="s">
        <v>5570</v>
      </c>
      <c r="H229" s="89" t="s">
        <v>5571</v>
      </c>
      <c r="I229" s="89" t="s">
        <v>5572</v>
      </c>
      <c r="J229" s="89" t="s">
        <v>5573</v>
      </c>
      <c r="K229" s="43" t="s">
        <v>5254</v>
      </c>
    </row>
    <row r="230" spans="1:11" ht="17.100000000000001" customHeight="1" x14ac:dyDescent="0.25">
      <c r="A230" s="152" t="s">
        <v>6179</v>
      </c>
      <c r="B230" s="153"/>
      <c r="C230" s="153"/>
      <c r="D230" s="153"/>
      <c r="E230" s="68">
        <f>SUM(E222:E229)</f>
        <v>260531</v>
      </c>
      <c r="F230" s="145"/>
      <c r="G230" s="145"/>
      <c r="H230" s="145"/>
      <c r="I230" s="145"/>
      <c r="J230" s="145"/>
      <c r="K230" s="145"/>
    </row>
    <row r="231" spans="1:11" ht="15.75" customHeight="1" x14ac:dyDescent="0.25">
      <c r="A231" s="146" t="s">
        <v>5263</v>
      </c>
      <c r="B231" s="146"/>
      <c r="C231" s="146"/>
      <c r="D231" s="146"/>
      <c r="E231" s="146"/>
      <c r="F231" s="146"/>
      <c r="G231" s="146"/>
      <c r="H231" s="146"/>
      <c r="I231" s="146"/>
      <c r="J231" s="146"/>
      <c r="K231" s="146"/>
    </row>
    <row r="232" spans="1:11" ht="28.5" x14ac:dyDescent="0.25">
      <c r="A232" s="88">
        <v>108</v>
      </c>
      <c r="B232" s="89" t="s">
        <v>12</v>
      </c>
      <c r="C232" s="25" t="s">
        <v>2</v>
      </c>
      <c r="D232" s="94">
        <v>4109000</v>
      </c>
      <c r="E232" s="89"/>
      <c r="F232" s="88">
        <v>4</v>
      </c>
      <c r="G232" s="89" t="s">
        <v>52</v>
      </c>
      <c r="H232" s="89"/>
      <c r="I232" s="89" t="s">
        <v>4696</v>
      </c>
      <c r="J232" s="89"/>
      <c r="K232" s="89" t="str">
        <f>"　"</f>
        <v>　</v>
      </c>
    </row>
    <row r="233" spans="1:11" ht="85.5" x14ac:dyDescent="0.25">
      <c r="A233" s="88">
        <v>108</v>
      </c>
      <c r="B233" s="89" t="s">
        <v>5264</v>
      </c>
      <c r="C233" s="25" t="s">
        <v>2</v>
      </c>
      <c r="D233" s="89"/>
      <c r="E233" s="94">
        <v>56275</v>
      </c>
      <c r="F233" s="88">
        <v>4</v>
      </c>
      <c r="G233" s="89" t="s">
        <v>5265</v>
      </c>
      <c r="H233" s="89" t="s">
        <v>5266</v>
      </c>
      <c r="I233" s="89" t="s">
        <v>4721</v>
      </c>
      <c r="J233" s="89" t="s">
        <v>4282</v>
      </c>
      <c r="K233" s="89" t="str">
        <f>"00048126"</f>
        <v>00048126</v>
      </c>
    </row>
    <row r="234" spans="1:11" ht="199.5" customHeight="1" x14ac:dyDescent="0.25">
      <c r="A234" s="88">
        <v>108</v>
      </c>
      <c r="B234" s="89" t="s">
        <v>5267</v>
      </c>
      <c r="C234" s="25" t="s">
        <v>2</v>
      </c>
      <c r="D234" s="89"/>
      <c r="E234" s="94">
        <v>15934</v>
      </c>
      <c r="F234" s="88">
        <v>4</v>
      </c>
      <c r="G234" s="89" t="s">
        <v>5268</v>
      </c>
      <c r="H234" s="89" t="s">
        <v>3173</v>
      </c>
      <c r="I234" s="89" t="s">
        <v>4721</v>
      </c>
      <c r="J234" s="89" t="s">
        <v>4282</v>
      </c>
      <c r="K234" s="89" t="s">
        <v>6180</v>
      </c>
    </row>
    <row r="235" spans="1:11" ht="90" customHeight="1" x14ac:dyDescent="0.25">
      <c r="A235" s="88">
        <v>108</v>
      </c>
      <c r="B235" s="89" t="s">
        <v>5269</v>
      </c>
      <c r="C235" s="25" t="s">
        <v>2</v>
      </c>
      <c r="D235" s="89"/>
      <c r="E235" s="94">
        <v>54589</v>
      </c>
      <c r="F235" s="88">
        <v>4</v>
      </c>
      <c r="G235" s="89" t="s">
        <v>5270</v>
      </c>
      <c r="H235" s="89" t="s">
        <v>3032</v>
      </c>
      <c r="I235" s="89" t="s">
        <v>4825</v>
      </c>
      <c r="J235" s="89" t="s">
        <v>4826</v>
      </c>
      <c r="K235" s="89" t="str">
        <f>"00049280"</f>
        <v>00049280</v>
      </c>
    </row>
    <row r="236" spans="1:11" ht="68.25" customHeight="1" x14ac:dyDescent="0.25">
      <c r="A236" s="88">
        <v>108</v>
      </c>
      <c r="B236" s="89" t="s">
        <v>5264</v>
      </c>
      <c r="C236" s="25" t="s">
        <v>2</v>
      </c>
      <c r="D236" s="89"/>
      <c r="E236" s="94">
        <v>40031</v>
      </c>
      <c r="F236" s="88">
        <v>4</v>
      </c>
      <c r="G236" s="89" t="s">
        <v>5271</v>
      </c>
      <c r="H236" s="89" t="s">
        <v>5266</v>
      </c>
      <c r="I236" s="89" t="s">
        <v>4721</v>
      </c>
      <c r="J236" s="89" t="s">
        <v>4282</v>
      </c>
      <c r="K236" s="89" t="str">
        <f>"00048213"</f>
        <v>00048213</v>
      </c>
    </row>
    <row r="237" spans="1:11" ht="75" customHeight="1" x14ac:dyDescent="0.25">
      <c r="A237" s="88">
        <v>108</v>
      </c>
      <c r="B237" s="89" t="s">
        <v>5272</v>
      </c>
      <c r="C237" s="25" t="s">
        <v>2</v>
      </c>
      <c r="D237" s="89"/>
      <c r="E237" s="94">
        <v>3975</v>
      </c>
      <c r="F237" s="88">
        <v>4</v>
      </c>
      <c r="G237" s="89" t="s">
        <v>5272</v>
      </c>
      <c r="H237" s="89" t="s">
        <v>5273</v>
      </c>
      <c r="I237" s="89" t="s">
        <v>71</v>
      </c>
      <c r="J237" s="89" t="s">
        <v>72</v>
      </c>
      <c r="K237" s="89" t="s">
        <v>6181</v>
      </c>
    </row>
    <row r="238" spans="1:11" ht="99.75" customHeight="1" x14ac:dyDescent="0.25">
      <c r="A238" s="88">
        <v>108</v>
      </c>
      <c r="B238" s="89" t="s">
        <v>5274</v>
      </c>
      <c r="C238" s="25" t="s">
        <v>2</v>
      </c>
      <c r="D238" s="89"/>
      <c r="E238" s="94">
        <v>25360</v>
      </c>
      <c r="F238" s="88">
        <v>4</v>
      </c>
      <c r="G238" s="89" t="s">
        <v>5274</v>
      </c>
      <c r="H238" s="89" t="s">
        <v>5275</v>
      </c>
      <c r="I238" s="89" t="s">
        <v>71</v>
      </c>
      <c r="J238" s="89" t="s">
        <v>5276</v>
      </c>
      <c r="K238" s="89" t="str">
        <f>"00048214"</f>
        <v>00048214</v>
      </c>
    </row>
    <row r="239" spans="1:11" ht="256.5" x14ac:dyDescent="0.25">
      <c r="A239" s="88">
        <v>108</v>
      </c>
      <c r="B239" s="89" t="s">
        <v>5277</v>
      </c>
      <c r="C239" s="25" t="s">
        <v>2</v>
      </c>
      <c r="D239" s="89"/>
      <c r="E239" s="94">
        <v>2174</v>
      </c>
      <c r="F239" s="88">
        <v>4</v>
      </c>
      <c r="G239" s="89" t="s">
        <v>5277</v>
      </c>
      <c r="H239" s="89" t="s">
        <v>5266</v>
      </c>
      <c r="I239" s="89" t="s">
        <v>71</v>
      </c>
      <c r="J239" s="89" t="s">
        <v>4282</v>
      </c>
      <c r="K239" s="43" t="s">
        <v>5684</v>
      </c>
    </row>
    <row r="240" spans="1:11" ht="57" x14ac:dyDescent="0.25">
      <c r="A240" s="88">
        <v>108</v>
      </c>
      <c r="B240" s="89" t="s">
        <v>5278</v>
      </c>
      <c r="C240" s="25" t="s">
        <v>2</v>
      </c>
      <c r="D240" s="89"/>
      <c r="E240" s="94">
        <v>49884</v>
      </c>
      <c r="F240" s="88">
        <v>4</v>
      </c>
      <c r="G240" s="89" t="s">
        <v>5278</v>
      </c>
      <c r="H240" s="89" t="s">
        <v>5279</v>
      </c>
      <c r="I240" s="89" t="s">
        <v>71</v>
      </c>
      <c r="J240" s="89" t="s">
        <v>5280</v>
      </c>
      <c r="K240" s="89" t="s">
        <v>6182</v>
      </c>
    </row>
    <row r="241" spans="1:11" x14ac:dyDescent="0.25">
      <c r="A241" s="152" t="s">
        <v>6183</v>
      </c>
      <c r="B241" s="153"/>
      <c r="C241" s="153"/>
      <c r="D241" s="153"/>
      <c r="E241" s="94">
        <f>SUM(E232:E240)</f>
        <v>248222</v>
      </c>
      <c r="F241" s="145"/>
      <c r="G241" s="145"/>
      <c r="H241" s="145"/>
      <c r="I241" s="145"/>
      <c r="J241" s="145"/>
      <c r="K241" s="145"/>
    </row>
    <row r="242" spans="1:11" ht="15.75" customHeight="1" x14ac:dyDescent="0.25">
      <c r="A242" s="146" t="s">
        <v>5295</v>
      </c>
      <c r="B242" s="146"/>
      <c r="C242" s="146"/>
      <c r="D242" s="146"/>
      <c r="E242" s="146"/>
      <c r="F242" s="146"/>
      <c r="G242" s="146"/>
      <c r="H242" s="146"/>
      <c r="I242" s="146"/>
      <c r="J242" s="146"/>
      <c r="K242" s="146"/>
    </row>
    <row r="243" spans="1:11" ht="28.5" x14ac:dyDescent="0.25">
      <c r="A243" s="88">
        <v>108</v>
      </c>
      <c r="B243" s="89" t="s">
        <v>12</v>
      </c>
      <c r="C243" s="25" t="s">
        <v>2</v>
      </c>
      <c r="D243" s="94">
        <v>4109000</v>
      </c>
      <c r="E243" s="89"/>
      <c r="F243" s="88">
        <v>4</v>
      </c>
      <c r="G243" s="89" t="s">
        <v>52</v>
      </c>
      <c r="H243" s="89"/>
      <c r="I243" s="89" t="s">
        <v>4696</v>
      </c>
      <c r="J243" s="89"/>
      <c r="K243" s="89" t="str">
        <f>"　"</f>
        <v>　</v>
      </c>
    </row>
    <row r="244" spans="1:11" ht="71.25" x14ac:dyDescent="0.25">
      <c r="A244" s="88">
        <v>108</v>
      </c>
      <c r="B244" s="89" t="s">
        <v>3817</v>
      </c>
      <c r="C244" s="25" t="s">
        <v>2</v>
      </c>
      <c r="D244" s="89"/>
      <c r="E244" s="94">
        <v>66863</v>
      </c>
      <c r="F244" s="88">
        <v>4</v>
      </c>
      <c r="G244" s="89" t="s">
        <v>5286</v>
      </c>
      <c r="H244" s="89" t="s">
        <v>3001</v>
      </c>
      <c r="I244" s="89" t="s">
        <v>4721</v>
      </c>
      <c r="J244" s="89" t="s">
        <v>4282</v>
      </c>
      <c r="K244" s="89" t="str">
        <f>"00048881"</f>
        <v>00048881</v>
      </c>
    </row>
    <row r="245" spans="1:11" ht="71.25" x14ac:dyDescent="0.25">
      <c r="A245" s="88">
        <v>108</v>
      </c>
      <c r="B245" s="89" t="s">
        <v>5616</v>
      </c>
      <c r="C245" s="25" t="s">
        <v>2</v>
      </c>
      <c r="D245" s="89"/>
      <c r="E245" s="94">
        <v>65772</v>
      </c>
      <c r="F245" s="88">
        <v>4</v>
      </c>
      <c r="G245" s="89" t="s">
        <v>5287</v>
      </c>
      <c r="H245" s="89" t="s">
        <v>2030</v>
      </c>
      <c r="I245" s="89" t="s">
        <v>4721</v>
      </c>
      <c r="J245" s="89" t="s">
        <v>4282</v>
      </c>
      <c r="K245" s="89" t="str">
        <f>"00049249"</f>
        <v>00049249</v>
      </c>
    </row>
    <row r="246" spans="1:11" ht="114" x14ac:dyDescent="0.25">
      <c r="A246" s="88">
        <v>108</v>
      </c>
      <c r="B246" s="89" t="s">
        <v>576</v>
      </c>
      <c r="C246" s="25" t="s">
        <v>2</v>
      </c>
      <c r="D246" s="89"/>
      <c r="E246" s="94">
        <v>39793</v>
      </c>
      <c r="F246" s="88">
        <v>4</v>
      </c>
      <c r="G246" s="89" t="s">
        <v>5288</v>
      </c>
      <c r="H246" s="89" t="s">
        <v>5289</v>
      </c>
      <c r="I246" s="89" t="s">
        <v>4721</v>
      </c>
      <c r="J246" s="89" t="s">
        <v>4282</v>
      </c>
      <c r="K246" s="89" t="str">
        <f>"00049700"</f>
        <v>00049700</v>
      </c>
    </row>
    <row r="247" spans="1:11" ht="42.75" x14ac:dyDescent="0.25">
      <c r="A247" s="88">
        <v>108</v>
      </c>
      <c r="B247" s="89" t="s">
        <v>5290</v>
      </c>
      <c r="C247" s="25" t="s">
        <v>2</v>
      </c>
      <c r="D247" s="89"/>
      <c r="E247" s="94">
        <v>25627</v>
      </c>
      <c r="F247" s="88">
        <v>4</v>
      </c>
      <c r="G247" s="89" t="s">
        <v>5291</v>
      </c>
      <c r="H247" s="89" t="s">
        <v>5292</v>
      </c>
      <c r="I247" s="89" t="s">
        <v>5293</v>
      </c>
      <c r="J247" s="89" t="s">
        <v>5294</v>
      </c>
      <c r="K247" s="89" t="str">
        <f>"00050950"</f>
        <v>00050950</v>
      </c>
    </row>
    <row r="248" spans="1:11" ht="15.75" customHeight="1" x14ac:dyDescent="0.25">
      <c r="A248" s="146" t="s">
        <v>6184</v>
      </c>
      <c r="B248" s="146"/>
      <c r="C248" s="146"/>
      <c r="D248" s="146"/>
      <c r="E248" s="94">
        <f>SUM(E243:E247)</f>
        <v>198055</v>
      </c>
      <c r="F248" s="145"/>
      <c r="G248" s="145"/>
      <c r="H248" s="145"/>
      <c r="I248" s="145"/>
      <c r="J248" s="145"/>
      <c r="K248" s="145"/>
    </row>
    <row r="249" spans="1:11" ht="15.75" customHeight="1" x14ac:dyDescent="0.25">
      <c r="A249" s="146" t="s">
        <v>5318</v>
      </c>
      <c r="B249" s="146"/>
      <c r="C249" s="146"/>
      <c r="D249" s="146"/>
      <c r="E249" s="146"/>
      <c r="F249" s="146"/>
      <c r="G249" s="146"/>
      <c r="H249" s="146"/>
      <c r="I249" s="146"/>
      <c r="J249" s="146"/>
      <c r="K249" s="146"/>
    </row>
    <row r="250" spans="1:11" ht="28.5" x14ac:dyDescent="0.25">
      <c r="A250" s="88">
        <v>108</v>
      </c>
      <c r="B250" s="89" t="s">
        <v>12</v>
      </c>
      <c r="C250" s="25" t="s">
        <v>2</v>
      </c>
      <c r="D250" s="94">
        <v>4109000</v>
      </c>
      <c r="E250" s="89"/>
      <c r="F250" s="88">
        <v>4</v>
      </c>
      <c r="G250" s="89" t="s">
        <v>52</v>
      </c>
      <c r="H250" s="89"/>
      <c r="I250" s="89" t="s">
        <v>4696</v>
      </c>
      <c r="J250" s="89"/>
      <c r="K250" s="89" t="str">
        <f>"　"</f>
        <v>　</v>
      </c>
    </row>
    <row r="251" spans="1:11" ht="71.25" x14ac:dyDescent="0.25">
      <c r="A251" s="88">
        <v>108</v>
      </c>
      <c r="B251" s="89" t="s">
        <v>4037</v>
      </c>
      <c r="C251" s="25" t="s">
        <v>2</v>
      </c>
      <c r="D251" s="89"/>
      <c r="E251" s="94">
        <v>30329</v>
      </c>
      <c r="F251" s="88">
        <v>4</v>
      </c>
      <c r="G251" s="89" t="s">
        <v>5319</v>
      </c>
      <c r="H251" s="89" t="s">
        <v>5320</v>
      </c>
      <c r="I251" s="89" t="s">
        <v>4831</v>
      </c>
      <c r="J251" s="89" t="s">
        <v>4885</v>
      </c>
      <c r="K251" s="89" t="str">
        <f>"00046692"</f>
        <v>00046692</v>
      </c>
    </row>
    <row r="252" spans="1:11" ht="42.75" x14ac:dyDescent="0.25">
      <c r="A252" s="88">
        <v>108</v>
      </c>
      <c r="B252" s="89" t="s">
        <v>1325</v>
      </c>
      <c r="C252" s="25" t="s">
        <v>2</v>
      </c>
      <c r="D252" s="89"/>
      <c r="E252" s="94">
        <v>56204</v>
      </c>
      <c r="F252" s="88">
        <v>4</v>
      </c>
      <c r="G252" s="89" t="s">
        <v>5321</v>
      </c>
      <c r="H252" s="89" t="s">
        <v>5322</v>
      </c>
      <c r="I252" s="89" t="s">
        <v>4727</v>
      </c>
      <c r="J252" s="89" t="s">
        <v>4728</v>
      </c>
      <c r="K252" s="89" t="str">
        <f>"00051715"</f>
        <v>00051715</v>
      </c>
    </row>
    <row r="253" spans="1:11" ht="28.5" x14ac:dyDescent="0.25">
      <c r="A253" s="88">
        <v>108</v>
      </c>
      <c r="B253" s="89" t="s">
        <v>26</v>
      </c>
      <c r="C253" s="25" t="s">
        <v>2</v>
      </c>
      <c r="D253" s="94">
        <v>122000</v>
      </c>
      <c r="E253" s="89"/>
      <c r="F253" s="88">
        <v>4</v>
      </c>
      <c r="G253" s="89" t="s">
        <v>29</v>
      </c>
      <c r="H253" s="89"/>
      <c r="I253" s="89" t="s">
        <v>4696</v>
      </c>
      <c r="J253" s="89"/>
      <c r="K253" s="89" t="str">
        <f>"　"</f>
        <v>　</v>
      </c>
    </row>
    <row r="254" spans="1:11" ht="28.5" x14ac:dyDescent="0.25">
      <c r="A254" s="88">
        <v>108</v>
      </c>
      <c r="B254" s="89" t="s">
        <v>26</v>
      </c>
      <c r="C254" s="25" t="s">
        <v>2</v>
      </c>
      <c r="D254" s="94">
        <v>100000</v>
      </c>
      <c r="E254" s="89"/>
      <c r="F254" s="88">
        <v>4</v>
      </c>
      <c r="G254" s="89" t="s">
        <v>37</v>
      </c>
      <c r="H254" s="89"/>
      <c r="I254" s="89" t="s">
        <v>4696</v>
      </c>
      <c r="J254" s="89"/>
      <c r="K254" s="89" t="str">
        <f>"　"</f>
        <v>　</v>
      </c>
    </row>
    <row r="255" spans="1:11" ht="28.5" x14ac:dyDescent="0.25">
      <c r="A255" s="88">
        <v>108</v>
      </c>
      <c r="B255" s="89" t="s">
        <v>26</v>
      </c>
      <c r="C255" s="25" t="s">
        <v>2</v>
      </c>
      <c r="D255" s="94">
        <v>100000</v>
      </c>
      <c r="E255" s="89"/>
      <c r="F255" s="88">
        <v>4</v>
      </c>
      <c r="G255" s="89" t="s">
        <v>37</v>
      </c>
      <c r="H255" s="89"/>
      <c r="I255" s="89" t="s">
        <v>4696</v>
      </c>
      <c r="J255" s="89"/>
      <c r="K255" s="89" t="str">
        <f>"　"</f>
        <v>　</v>
      </c>
    </row>
    <row r="256" spans="1:11" ht="57" x14ac:dyDescent="0.25">
      <c r="A256" s="88">
        <v>108</v>
      </c>
      <c r="B256" s="89" t="s">
        <v>5323</v>
      </c>
      <c r="C256" s="25" t="s">
        <v>2</v>
      </c>
      <c r="D256" s="89"/>
      <c r="E256" s="94">
        <v>66976</v>
      </c>
      <c r="F256" s="88">
        <v>4</v>
      </c>
      <c r="G256" s="89" t="s">
        <v>5324</v>
      </c>
      <c r="H256" s="89" t="s">
        <v>1462</v>
      </c>
      <c r="I256" s="89" t="s">
        <v>71</v>
      </c>
      <c r="J256" s="89" t="s">
        <v>4282</v>
      </c>
      <c r="K256" s="89" t="str">
        <f>"00049448"</f>
        <v>00049448</v>
      </c>
    </row>
    <row r="257" spans="1:11" ht="42.75" x14ac:dyDescent="0.25">
      <c r="A257" s="88">
        <v>108</v>
      </c>
      <c r="B257" s="89" t="s">
        <v>5325</v>
      </c>
      <c r="C257" s="25" t="s">
        <v>2</v>
      </c>
      <c r="D257" s="89"/>
      <c r="E257" s="94">
        <v>20724</v>
      </c>
      <c r="F257" s="88">
        <v>4</v>
      </c>
      <c r="G257" s="89" t="s">
        <v>5321</v>
      </c>
      <c r="H257" s="89" t="s">
        <v>5322</v>
      </c>
      <c r="I257" s="89" t="s">
        <v>71</v>
      </c>
      <c r="J257" s="89" t="s">
        <v>4728</v>
      </c>
      <c r="K257" s="89" t="str">
        <f>"00051715"</f>
        <v>00051715</v>
      </c>
    </row>
    <row r="258" spans="1:11" x14ac:dyDescent="0.25">
      <c r="A258" s="152" t="s">
        <v>6185</v>
      </c>
      <c r="B258" s="153"/>
      <c r="C258" s="153"/>
      <c r="D258" s="153"/>
      <c r="E258" s="94">
        <f>SUM(E250:E257)</f>
        <v>174233</v>
      </c>
      <c r="F258" s="145"/>
      <c r="G258" s="145"/>
      <c r="H258" s="145"/>
      <c r="I258" s="145"/>
      <c r="J258" s="145"/>
      <c r="K258" s="145"/>
    </row>
    <row r="259" spans="1:11" ht="15.75" customHeight="1" x14ac:dyDescent="0.25">
      <c r="A259" s="146" t="s">
        <v>5333</v>
      </c>
      <c r="B259" s="146"/>
      <c r="C259" s="146"/>
      <c r="D259" s="146"/>
      <c r="E259" s="146"/>
      <c r="F259" s="146"/>
      <c r="G259" s="146"/>
      <c r="H259" s="146"/>
      <c r="I259" s="146"/>
      <c r="J259" s="146"/>
      <c r="K259" s="146"/>
    </row>
    <row r="260" spans="1:11" ht="34.5" customHeight="1" x14ac:dyDescent="0.25">
      <c r="A260" s="88">
        <v>108</v>
      </c>
      <c r="B260" s="89" t="s">
        <v>12</v>
      </c>
      <c r="C260" s="25" t="s">
        <v>2</v>
      </c>
      <c r="D260" s="94">
        <v>4109000</v>
      </c>
      <c r="E260" s="89"/>
      <c r="F260" s="88">
        <v>4</v>
      </c>
      <c r="G260" s="89" t="s">
        <v>52</v>
      </c>
      <c r="H260" s="89"/>
      <c r="I260" s="89" t="s">
        <v>4696</v>
      </c>
      <c r="J260" s="89"/>
      <c r="K260" s="89" t="str">
        <f>"　"</f>
        <v>　</v>
      </c>
    </row>
    <row r="261" spans="1:11" ht="42.75" x14ac:dyDescent="0.25">
      <c r="A261" s="88">
        <v>108</v>
      </c>
      <c r="B261" s="89" t="s">
        <v>3087</v>
      </c>
      <c r="C261" s="25" t="s">
        <v>2</v>
      </c>
      <c r="D261" s="89"/>
      <c r="E261" s="94">
        <v>8553</v>
      </c>
      <c r="F261" s="88">
        <v>4</v>
      </c>
      <c r="G261" s="89" t="s">
        <v>5329</v>
      </c>
      <c r="H261" s="89" t="s">
        <v>5330</v>
      </c>
      <c r="I261" s="89" t="s">
        <v>4721</v>
      </c>
      <c r="J261" s="89" t="s">
        <v>4282</v>
      </c>
      <c r="K261" s="89" t="str">
        <f>"00047329"</f>
        <v>00047329</v>
      </c>
    </row>
    <row r="262" spans="1:11" x14ac:dyDescent="0.25">
      <c r="A262" s="146" t="s">
        <v>6186</v>
      </c>
      <c r="B262" s="153"/>
      <c r="C262" s="153"/>
      <c r="D262" s="153"/>
      <c r="E262" s="94">
        <f>SUM(E261)</f>
        <v>8553</v>
      </c>
      <c r="F262" s="145"/>
      <c r="G262" s="145"/>
      <c r="H262" s="145"/>
      <c r="I262" s="145"/>
      <c r="J262" s="145"/>
      <c r="K262" s="145"/>
    </row>
    <row r="263" spans="1:11" ht="15.75" customHeight="1" x14ac:dyDescent="0.25">
      <c r="A263" s="146" t="s">
        <v>5336</v>
      </c>
      <c r="B263" s="146"/>
      <c r="C263" s="146"/>
      <c r="D263" s="146"/>
      <c r="E263" s="146"/>
      <c r="F263" s="146"/>
      <c r="G263" s="146"/>
      <c r="H263" s="146"/>
      <c r="I263" s="146"/>
      <c r="J263" s="146"/>
      <c r="K263" s="146"/>
    </row>
    <row r="264" spans="1:11" ht="28.5" x14ac:dyDescent="0.25">
      <c r="A264" s="88">
        <v>108</v>
      </c>
      <c r="B264" s="89" t="s">
        <v>12</v>
      </c>
      <c r="C264" s="25" t="s">
        <v>2</v>
      </c>
      <c r="D264" s="94">
        <v>4109000</v>
      </c>
      <c r="E264" s="89"/>
      <c r="F264" s="88">
        <v>4</v>
      </c>
      <c r="G264" s="89" t="s">
        <v>52</v>
      </c>
      <c r="H264" s="89"/>
      <c r="I264" s="89" t="s">
        <v>4696</v>
      </c>
      <c r="J264" s="89"/>
      <c r="K264" s="89" t="str">
        <f>"　"</f>
        <v>　</v>
      </c>
    </row>
    <row r="265" spans="1:11" ht="57" x14ac:dyDescent="0.25">
      <c r="A265" s="88">
        <v>108</v>
      </c>
      <c r="B265" s="89" t="s">
        <v>3166</v>
      </c>
      <c r="C265" s="25" t="s">
        <v>2</v>
      </c>
      <c r="D265" s="89"/>
      <c r="E265" s="94">
        <v>20000</v>
      </c>
      <c r="F265" s="88">
        <v>4</v>
      </c>
      <c r="G265" s="89" t="s">
        <v>5574</v>
      </c>
      <c r="H265" s="89" t="s">
        <v>5337</v>
      </c>
      <c r="I265" s="89" t="s">
        <v>4891</v>
      </c>
      <c r="J265" s="89" t="s">
        <v>4892</v>
      </c>
      <c r="K265" s="89" t="s">
        <v>6187</v>
      </c>
    </row>
    <row r="266" spans="1:11" ht="42.75" x14ac:dyDescent="0.25">
      <c r="A266" s="88">
        <v>108</v>
      </c>
      <c r="B266" s="89" t="s">
        <v>1887</v>
      </c>
      <c r="C266" s="25" t="s">
        <v>2</v>
      </c>
      <c r="D266" s="89"/>
      <c r="E266" s="94">
        <v>19871</v>
      </c>
      <c r="F266" s="88">
        <v>4</v>
      </c>
      <c r="G266" s="89" t="s">
        <v>5575</v>
      </c>
      <c r="H266" s="89" t="s">
        <v>5338</v>
      </c>
      <c r="I266" s="89" t="s">
        <v>5576</v>
      </c>
      <c r="J266" s="89" t="s">
        <v>5577</v>
      </c>
      <c r="K266" s="89" t="str">
        <f>"00052757"</f>
        <v>00052757</v>
      </c>
    </row>
    <row r="267" spans="1:11" ht="42.75" x14ac:dyDescent="0.25">
      <c r="A267" s="88">
        <v>108</v>
      </c>
      <c r="B267" s="89" t="s">
        <v>4396</v>
      </c>
      <c r="C267" s="25" t="s">
        <v>2</v>
      </c>
      <c r="D267" s="89"/>
      <c r="E267" s="94">
        <v>30376</v>
      </c>
      <c r="F267" s="88">
        <v>4</v>
      </c>
      <c r="G267" s="89" t="s">
        <v>5578</v>
      </c>
      <c r="H267" s="89" t="s">
        <v>5339</v>
      </c>
      <c r="I267" s="89" t="s">
        <v>71</v>
      </c>
      <c r="J267" s="89" t="s">
        <v>4174</v>
      </c>
      <c r="K267" s="89" t="str">
        <f>"00049759"</f>
        <v>00049759</v>
      </c>
    </row>
    <row r="268" spans="1:11" ht="57" x14ac:dyDescent="0.25">
      <c r="A268" s="88">
        <v>108</v>
      </c>
      <c r="B268" s="89" t="s">
        <v>5579</v>
      </c>
      <c r="C268" s="25" t="s">
        <v>2</v>
      </c>
      <c r="D268" s="89"/>
      <c r="E268" s="94">
        <v>10000</v>
      </c>
      <c r="F268" s="88">
        <v>4</v>
      </c>
      <c r="G268" s="89" t="s">
        <v>5580</v>
      </c>
      <c r="H268" s="89" t="s">
        <v>5340</v>
      </c>
      <c r="I268" s="89" t="s">
        <v>71</v>
      </c>
      <c r="J268" s="89" t="s">
        <v>5577</v>
      </c>
      <c r="K268" s="89" t="str">
        <f>"00052778"</f>
        <v>00052778</v>
      </c>
    </row>
    <row r="269" spans="1:11" ht="42.75" x14ac:dyDescent="0.25">
      <c r="A269" s="88">
        <v>108</v>
      </c>
      <c r="B269" s="89" t="s">
        <v>4396</v>
      </c>
      <c r="C269" s="25" t="s">
        <v>2</v>
      </c>
      <c r="D269" s="89"/>
      <c r="E269" s="94">
        <v>92436</v>
      </c>
      <c r="F269" s="88">
        <v>4</v>
      </c>
      <c r="G269" s="89" t="s">
        <v>5581</v>
      </c>
      <c r="H269" s="89" t="s">
        <v>2986</v>
      </c>
      <c r="I269" s="89" t="s">
        <v>71</v>
      </c>
      <c r="J269" s="89" t="s">
        <v>4892</v>
      </c>
      <c r="K269" s="89" t="str">
        <f>"00049771"</f>
        <v>00049771</v>
      </c>
    </row>
    <row r="270" spans="1:11" ht="42.75" x14ac:dyDescent="0.25">
      <c r="A270" s="88">
        <v>108</v>
      </c>
      <c r="B270" s="89" t="s">
        <v>4396</v>
      </c>
      <c r="C270" s="25" t="s">
        <v>2</v>
      </c>
      <c r="D270" s="89"/>
      <c r="E270" s="94">
        <v>65002</v>
      </c>
      <c r="F270" s="88">
        <v>4</v>
      </c>
      <c r="G270" s="89" t="s">
        <v>5582</v>
      </c>
      <c r="H270" s="89" t="s">
        <v>5341</v>
      </c>
      <c r="I270" s="89" t="s">
        <v>71</v>
      </c>
      <c r="J270" s="89" t="s">
        <v>4892</v>
      </c>
      <c r="K270" s="89" t="str">
        <f>"00050833"</f>
        <v>00050833</v>
      </c>
    </row>
    <row r="271" spans="1:11" x14ac:dyDescent="0.25">
      <c r="A271" s="146" t="s">
        <v>6188</v>
      </c>
      <c r="B271" s="146"/>
      <c r="C271" s="146"/>
      <c r="D271" s="146"/>
      <c r="E271" s="94">
        <f>SUM(E264:E270)</f>
        <v>237685</v>
      </c>
      <c r="F271" s="145"/>
      <c r="G271" s="145"/>
      <c r="H271" s="145"/>
      <c r="I271" s="145"/>
      <c r="J271" s="145"/>
      <c r="K271" s="145"/>
    </row>
    <row r="272" spans="1:11" x14ac:dyDescent="0.25">
      <c r="A272" s="154" t="s">
        <v>6539</v>
      </c>
      <c r="B272" s="154"/>
      <c r="C272" s="154"/>
      <c r="D272" s="154"/>
      <c r="E272" s="154"/>
      <c r="F272" s="154"/>
      <c r="G272" s="154"/>
      <c r="H272" s="154"/>
      <c r="I272" s="154"/>
      <c r="J272" s="154"/>
      <c r="K272" s="154"/>
    </row>
    <row r="273" spans="1:11" ht="85.5" x14ac:dyDescent="0.25">
      <c r="A273" s="88">
        <v>108</v>
      </c>
      <c r="B273" s="89" t="s">
        <v>4176</v>
      </c>
      <c r="C273" s="25" t="s">
        <v>2</v>
      </c>
      <c r="D273" s="89"/>
      <c r="E273" s="94">
        <v>19165</v>
      </c>
      <c r="F273" s="88">
        <v>3</v>
      </c>
      <c r="G273" s="89" t="s">
        <v>5525</v>
      </c>
      <c r="H273" s="89" t="s">
        <v>5526</v>
      </c>
      <c r="I273" s="89" t="s">
        <v>71</v>
      </c>
      <c r="J273" s="89" t="s">
        <v>4174</v>
      </c>
      <c r="K273" s="89" t="str">
        <f>"00052289"</f>
        <v>00052289</v>
      </c>
    </row>
    <row r="274" spans="1:11" ht="57" x14ac:dyDescent="0.25">
      <c r="A274" s="88">
        <v>108</v>
      </c>
      <c r="B274" s="89" t="s">
        <v>5527</v>
      </c>
      <c r="C274" s="25" t="s">
        <v>2</v>
      </c>
      <c r="D274" s="89"/>
      <c r="E274" s="94">
        <v>25798</v>
      </c>
      <c r="F274" s="88">
        <v>3</v>
      </c>
      <c r="G274" s="89" t="s">
        <v>5528</v>
      </c>
      <c r="H274" s="89" t="s">
        <v>5529</v>
      </c>
      <c r="I274" s="89" t="s">
        <v>71</v>
      </c>
      <c r="J274" s="89" t="s">
        <v>4832</v>
      </c>
      <c r="K274" s="89" t="str">
        <f>"00053199"</f>
        <v>00053199</v>
      </c>
    </row>
    <row r="275" spans="1:11" ht="57" x14ac:dyDescent="0.25">
      <c r="A275" s="88">
        <v>108</v>
      </c>
      <c r="B275" s="89" t="s">
        <v>4176</v>
      </c>
      <c r="C275" s="25" t="s">
        <v>2</v>
      </c>
      <c r="D275" s="89"/>
      <c r="E275" s="94">
        <v>33553</v>
      </c>
      <c r="F275" s="88">
        <v>3</v>
      </c>
      <c r="G275" s="89" t="s">
        <v>5530</v>
      </c>
      <c r="H275" s="89" t="s">
        <v>5531</v>
      </c>
      <c r="I275" s="89" t="s">
        <v>71</v>
      </c>
      <c r="J275" s="89" t="s">
        <v>4174</v>
      </c>
      <c r="K275" s="89" t="str">
        <f>"00051543"</f>
        <v>00051543</v>
      </c>
    </row>
    <row r="276" spans="1:11" ht="65.25" customHeight="1" x14ac:dyDescent="0.25">
      <c r="A276" s="88">
        <v>108</v>
      </c>
      <c r="B276" s="89" t="s">
        <v>4176</v>
      </c>
      <c r="C276" s="25" t="s">
        <v>2</v>
      </c>
      <c r="D276" s="89"/>
      <c r="E276" s="94">
        <v>25050</v>
      </c>
      <c r="F276" s="88">
        <v>3</v>
      </c>
      <c r="G276" s="89" t="s">
        <v>5532</v>
      </c>
      <c r="H276" s="89" t="s">
        <v>4623</v>
      </c>
      <c r="I276" s="89" t="s">
        <v>1486</v>
      </c>
      <c r="J276" s="89" t="s">
        <v>4624</v>
      </c>
      <c r="K276" s="89" t="str">
        <f>"00047987"</f>
        <v>00047987</v>
      </c>
    </row>
    <row r="277" spans="1:11" ht="65.25" customHeight="1" x14ac:dyDescent="0.25">
      <c r="A277" s="88">
        <v>108</v>
      </c>
      <c r="B277" s="89" t="s">
        <v>4176</v>
      </c>
      <c r="C277" s="25" t="s">
        <v>2</v>
      </c>
      <c r="D277" s="89"/>
      <c r="E277" s="94">
        <v>38947</v>
      </c>
      <c r="F277" s="88">
        <v>3</v>
      </c>
      <c r="G277" s="89" t="s">
        <v>5533</v>
      </c>
      <c r="H277" s="89" t="s">
        <v>5534</v>
      </c>
      <c r="I277" s="89" t="s">
        <v>71</v>
      </c>
      <c r="J277" s="89" t="s">
        <v>4810</v>
      </c>
      <c r="K277" s="89" t="str">
        <f>"00050764"</f>
        <v>00050764</v>
      </c>
    </row>
    <row r="278" spans="1:11" x14ac:dyDescent="0.25">
      <c r="A278" s="148" t="s">
        <v>6189</v>
      </c>
      <c r="B278" s="149"/>
      <c r="C278" s="149"/>
      <c r="D278" s="149"/>
      <c r="E278" s="94">
        <f>SUM(E273:E277)</f>
        <v>142513</v>
      </c>
      <c r="F278" s="145"/>
      <c r="G278" s="145"/>
      <c r="H278" s="145"/>
      <c r="I278" s="145"/>
      <c r="J278" s="145"/>
      <c r="K278" s="145"/>
    </row>
    <row r="279" spans="1:11" ht="15.75" customHeight="1" x14ac:dyDescent="0.25">
      <c r="A279" s="146" t="s">
        <v>5012</v>
      </c>
      <c r="B279" s="146"/>
      <c r="C279" s="146"/>
      <c r="D279" s="146"/>
      <c r="E279" s="146"/>
      <c r="F279" s="146"/>
      <c r="G279" s="146"/>
      <c r="H279" s="146"/>
      <c r="I279" s="146"/>
      <c r="J279" s="146"/>
      <c r="K279" s="146"/>
    </row>
    <row r="280" spans="1:11" ht="57" x14ac:dyDescent="0.25">
      <c r="A280" s="88">
        <v>108</v>
      </c>
      <c r="B280" s="89" t="s">
        <v>4925</v>
      </c>
      <c r="C280" s="25" t="s">
        <v>2</v>
      </c>
      <c r="D280" s="89"/>
      <c r="E280" s="94">
        <v>9840</v>
      </c>
      <c r="F280" s="88">
        <v>3</v>
      </c>
      <c r="G280" s="89" t="s">
        <v>4925</v>
      </c>
      <c r="H280" s="89" t="s">
        <v>4128</v>
      </c>
      <c r="I280" s="89" t="s">
        <v>71</v>
      </c>
      <c r="J280" s="89" t="s">
        <v>4728</v>
      </c>
      <c r="K280" s="89" t="str">
        <f>"00051185"</f>
        <v>00051185</v>
      </c>
    </row>
    <row r="281" spans="1:11" x14ac:dyDescent="0.25">
      <c r="A281" s="152" t="s">
        <v>5331</v>
      </c>
      <c r="B281" s="153"/>
      <c r="C281" s="153"/>
      <c r="D281" s="153"/>
      <c r="E281" s="94">
        <f>SUM(E280)</f>
        <v>9840</v>
      </c>
      <c r="F281" s="145"/>
      <c r="G281" s="145"/>
      <c r="H281" s="145"/>
      <c r="I281" s="145"/>
      <c r="J281" s="145"/>
      <c r="K281" s="145"/>
    </row>
    <row r="282" spans="1:11" ht="15.75" customHeight="1" x14ac:dyDescent="0.25">
      <c r="A282" s="146" t="s">
        <v>5332</v>
      </c>
      <c r="B282" s="146"/>
      <c r="C282" s="146"/>
      <c r="D282" s="146"/>
      <c r="E282" s="146"/>
      <c r="F282" s="146"/>
      <c r="G282" s="146"/>
      <c r="H282" s="146"/>
      <c r="I282" s="146"/>
      <c r="J282" s="146"/>
      <c r="K282" s="146"/>
    </row>
    <row r="283" spans="1:11" ht="42.75" x14ac:dyDescent="0.25">
      <c r="A283" s="88">
        <v>108</v>
      </c>
      <c r="B283" s="89" t="s">
        <v>5583</v>
      </c>
      <c r="C283" s="25" t="s">
        <v>2</v>
      </c>
      <c r="D283" s="89"/>
      <c r="E283" s="94">
        <v>20001</v>
      </c>
      <c r="F283" s="88">
        <v>3</v>
      </c>
      <c r="G283" s="89" t="s">
        <v>4975</v>
      </c>
      <c r="H283" s="89" t="s">
        <v>4976</v>
      </c>
      <c r="I283" s="89" t="s">
        <v>4727</v>
      </c>
      <c r="J283" s="89" t="s">
        <v>4728</v>
      </c>
      <c r="K283" s="89" t="s">
        <v>4977</v>
      </c>
    </row>
    <row r="284" spans="1:11" ht="57" x14ac:dyDescent="0.25">
      <c r="A284" s="88">
        <v>108</v>
      </c>
      <c r="B284" s="89" t="s">
        <v>5584</v>
      </c>
      <c r="C284" s="25" t="s">
        <v>2</v>
      </c>
      <c r="D284" s="89"/>
      <c r="E284" s="94">
        <v>9593</v>
      </c>
      <c r="F284" s="88">
        <v>3</v>
      </c>
      <c r="G284" s="89" t="s">
        <v>4978</v>
      </c>
      <c r="H284" s="89" t="s">
        <v>4979</v>
      </c>
      <c r="I284" s="89" t="s">
        <v>4721</v>
      </c>
      <c r="J284" s="89" t="s">
        <v>4282</v>
      </c>
      <c r="K284" s="89" t="s">
        <v>4980</v>
      </c>
    </row>
    <row r="285" spans="1:11" x14ac:dyDescent="0.25">
      <c r="A285" s="152" t="s">
        <v>6190</v>
      </c>
      <c r="B285" s="152"/>
      <c r="C285" s="152"/>
      <c r="D285" s="152"/>
      <c r="E285" s="94">
        <f>SUM(E283:E284)</f>
        <v>29594</v>
      </c>
      <c r="F285" s="145"/>
      <c r="G285" s="145"/>
      <c r="H285" s="145"/>
      <c r="I285" s="145"/>
      <c r="J285" s="145"/>
      <c r="K285" s="145"/>
    </row>
    <row r="286" spans="1:11" ht="15.75" customHeight="1" x14ac:dyDescent="0.25">
      <c r="A286" s="146" t="s">
        <v>5011</v>
      </c>
      <c r="B286" s="146"/>
      <c r="C286" s="146"/>
      <c r="D286" s="146"/>
      <c r="E286" s="146"/>
      <c r="F286" s="146"/>
      <c r="G286" s="146"/>
      <c r="H286" s="146"/>
      <c r="I286" s="146"/>
      <c r="J286" s="146"/>
      <c r="K286" s="146"/>
    </row>
    <row r="287" spans="1:11" ht="71.25" x14ac:dyDescent="0.25">
      <c r="A287" s="88">
        <v>108</v>
      </c>
      <c r="B287" s="89" t="s">
        <v>12</v>
      </c>
      <c r="C287" s="25" t="s">
        <v>2</v>
      </c>
      <c r="D287" s="89"/>
      <c r="E287" s="94">
        <v>16889</v>
      </c>
      <c r="F287" s="88">
        <v>3</v>
      </c>
      <c r="G287" s="89" t="s">
        <v>5010</v>
      </c>
      <c r="H287" s="89" t="s">
        <v>5006</v>
      </c>
      <c r="I287" s="89" t="s">
        <v>4727</v>
      </c>
      <c r="J287" s="89" t="s">
        <v>4728</v>
      </c>
      <c r="K287" s="89" t="str">
        <f>"00047520"</f>
        <v>00047520</v>
      </c>
    </row>
    <row r="288" spans="1:11" ht="42.75" x14ac:dyDescent="0.25">
      <c r="A288" s="88">
        <v>108</v>
      </c>
      <c r="B288" s="89" t="s">
        <v>4171</v>
      </c>
      <c r="C288" s="25" t="s">
        <v>2</v>
      </c>
      <c r="D288" s="89"/>
      <c r="E288" s="94">
        <v>18000</v>
      </c>
      <c r="F288" s="88">
        <v>3</v>
      </c>
      <c r="G288" s="89" t="s">
        <v>4172</v>
      </c>
      <c r="H288" s="89" t="s">
        <v>4173</v>
      </c>
      <c r="I288" s="89" t="s">
        <v>71</v>
      </c>
      <c r="J288" s="89" t="s">
        <v>4174</v>
      </c>
      <c r="K288" s="89" t="s">
        <v>6191</v>
      </c>
    </row>
    <row r="289" spans="1:11" x14ac:dyDescent="0.25">
      <c r="A289" s="148" t="s">
        <v>4819</v>
      </c>
      <c r="B289" s="149"/>
      <c r="C289" s="149"/>
      <c r="D289" s="149"/>
      <c r="E289" s="94">
        <f>SUM(E287:E288)</f>
        <v>34889</v>
      </c>
      <c r="F289" s="145"/>
      <c r="G289" s="145"/>
      <c r="H289" s="145"/>
      <c r="I289" s="145"/>
      <c r="J289" s="145"/>
      <c r="K289" s="145"/>
    </row>
    <row r="290" spans="1:11" ht="15.75" customHeight="1" x14ac:dyDescent="0.25">
      <c r="A290" s="146" t="s">
        <v>5158</v>
      </c>
      <c r="B290" s="146"/>
      <c r="C290" s="146"/>
      <c r="D290" s="146"/>
      <c r="E290" s="146"/>
      <c r="F290" s="146"/>
      <c r="G290" s="146"/>
      <c r="H290" s="146"/>
      <c r="I290" s="146"/>
      <c r="J290" s="146"/>
      <c r="K290" s="146"/>
    </row>
    <row r="291" spans="1:11" ht="57" x14ac:dyDescent="0.25">
      <c r="A291" s="88">
        <v>108</v>
      </c>
      <c r="B291" s="89" t="s">
        <v>5153</v>
      </c>
      <c r="C291" s="25" t="s">
        <v>2</v>
      </c>
      <c r="D291" s="89"/>
      <c r="E291" s="94">
        <v>138453</v>
      </c>
      <c r="F291" s="88">
        <v>3</v>
      </c>
      <c r="G291" s="89" t="s">
        <v>5153</v>
      </c>
      <c r="H291" s="89" t="s">
        <v>5154</v>
      </c>
      <c r="I291" s="89" t="s">
        <v>71</v>
      </c>
      <c r="J291" s="89" t="s">
        <v>4728</v>
      </c>
      <c r="K291" s="89" t="str">
        <f>"00048884"</f>
        <v>00048884</v>
      </c>
    </row>
    <row r="292" spans="1:11" ht="15.6" customHeight="1" x14ac:dyDescent="0.25">
      <c r="A292" s="152" t="s">
        <v>6192</v>
      </c>
      <c r="B292" s="152"/>
      <c r="C292" s="157"/>
      <c r="D292" s="157"/>
      <c r="E292" s="69">
        <f>SUM(E291)</f>
        <v>138453</v>
      </c>
      <c r="F292" s="165"/>
      <c r="G292" s="165"/>
      <c r="H292" s="165"/>
      <c r="I292" s="165"/>
      <c r="J292" s="165"/>
      <c r="K292" s="165"/>
    </row>
    <row r="293" spans="1:11" ht="15.75" customHeight="1" x14ac:dyDescent="0.25">
      <c r="A293" s="146" t="s">
        <v>5159</v>
      </c>
      <c r="B293" s="146"/>
      <c r="C293" s="146"/>
      <c r="D293" s="146"/>
      <c r="E293" s="146"/>
      <c r="F293" s="146"/>
      <c r="G293" s="146"/>
      <c r="H293" s="146"/>
      <c r="I293" s="146"/>
      <c r="J293" s="146"/>
      <c r="K293" s="146"/>
    </row>
    <row r="294" spans="1:11" ht="63" customHeight="1" x14ac:dyDescent="0.25">
      <c r="A294" s="88">
        <v>108</v>
      </c>
      <c r="B294" s="89" t="s">
        <v>4279</v>
      </c>
      <c r="C294" s="25" t="s">
        <v>2</v>
      </c>
      <c r="D294" s="89"/>
      <c r="E294" s="94">
        <v>8283</v>
      </c>
      <c r="F294" s="88">
        <v>3</v>
      </c>
      <c r="G294" s="89" t="s">
        <v>4280</v>
      </c>
      <c r="H294" s="89" t="s">
        <v>4281</v>
      </c>
      <c r="I294" s="89" t="s">
        <v>71</v>
      </c>
      <c r="J294" s="89" t="s">
        <v>4282</v>
      </c>
      <c r="K294" s="89" t="str">
        <f>"00047505"</f>
        <v>00047505</v>
      </c>
    </row>
    <row r="295" spans="1:11" ht="19.5" customHeight="1" x14ac:dyDescent="0.25">
      <c r="A295" s="146" t="s">
        <v>6193</v>
      </c>
      <c r="B295" s="146"/>
      <c r="C295" s="146"/>
      <c r="D295" s="146"/>
      <c r="E295" s="94">
        <v>8283</v>
      </c>
      <c r="F295" s="165"/>
      <c r="G295" s="165"/>
      <c r="H295" s="165"/>
      <c r="I295" s="165"/>
      <c r="J295" s="165"/>
      <c r="K295" s="165"/>
    </row>
    <row r="296" spans="1:11" ht="19.5" customHeight="1" x14ac:dyDescent="0.25">
      <c r="A296" s="146" t="s">
        <v>6194</v>
      </c>
      <c r="B296" s="146"/>
      <c r="C296" s="146"/>
      <c r="D296" s="146"/>
      <c r="E296" s="146"/>
      <c r="F296" s="146"/>
      <c r="G296" s="146"/>
      <c r="H296" s="146"/>
      <c r="I296" s="146"/>
      <c r="J296" s="146"/>
      <c r="K296" s="146"/>
    </row>
    <row r="297" spans="1:11" ht="42.75" x14ac:dyDescent="0.25">
      <c r="A297" s="88">
        <v>108</v>
      </c>
      <c r="B297" s="89" t="s">
        <v>4229</v>
      </c>
      <c r="C297" s="25" t="s">
        <v>2</v>
      </c>
      <c r="D297" s="89"/>
      <c r="E297" s="94">
        <v>6619</v>
      </c>
      <c r="F297" s="88">
        <v>3</v>
      </c>
      <c r="G297" s="89" t="s">
        <v>5281</v>
      </c>
      <c r="H297" s="89" t="s">
        <v>5282</v>
      </c>
      <c r="I297" s="89" t="s">
        <v>71</v>
      </c>
      <c r="J297" s="89" t="s">
        <v>4282</v>
      </c>
      <c r="K297" s="89" t="str">
        <f>"00047009"</f>
        <v>00047009</v>
      </c>
    </row>
    <row r="298" spans="1:11" ht="20.65" customHeight="1" x14ac:dyDescent="0.25">
      <c r="A298" s="148" t="s">
        <v>5283</v>
      </c>
      <c r="B298" s="149"/>
      <c r="C298" s="149"/>
      <c r="D298" s="149"/>
      <c r="E298" s="94">
        <f>SUM(E297)</f>
        <v>6619</v>
      </c>
      <c r="F298" s="145"/>
      <c r="G298" s="145"/>
      <c r="H298" s="145"/>
      <c r="I298" s="145"/>
      <c r="J298" s="145"/>
      <c r="K298" s="145"/>
    </row>
    <row r="299" spans="1:11" ht="20.65" customHeight="1" x14ac:dyDescent="0.25">
      <c r="A299" s="159" t="s">
        <v>6195</v>
      </c>
      <c r="B299" s="159"/>
      <c r="C299" s="159"/>
      <c r="D299" s="159"/>
      <c r="E299" s="159"/>
      <c r="F299" s="159"/>
      <c r="G299" s="159"/>
      <c r="H299" s="159"/>
      <c r="I299" s="159"/>
      <c r="J299" s="159"/>
      <c r="K299" s="159"/>
    </row>
    <row r="300" spans="1:11" ht="42.75" x14ac:dyDescent="0.25">
      <c r="A300" s="88">
        <v>108</v>
      </c>
      <c r="B300" s="89" t="s">
        <v>4276</v>
      </c>
      <c r="C300" s="25" t="s">
        <v>2</v>
      </c>
      <c r="D300" s="89"/>
      <c r="E300" s="94">
        <v>15554</v>
      </c>
      <c r="F300" s="88">
        <v>3</v>
      </c>
      <c r="G300" s="89" t="s">
        <v>5585</v>
      </c>
      <c r="H300" s="89" t="s">
        <v>5342</v>
      </c>
      <c r="I300" s="89" t="s">
        <v>71</v>
      </c>
      <c r="J300" s="89" t="s">
        <v>4892</v>
      </c>
      <c r="K300" s="89" t="str">
        <f>"00047224"</f>
        <v>00047224</v>
      </c>
    </row>
    <row r="301" spans="1:11" ht="42.75" x14ac:dyDescent="0.25">
      <c r="A301" s="88">
        <v>108</v>
      </c>
      <c r="B301" s="89" t="s">
        <v>5586</v>
      </c>
      <c r="C301" s="25" t="s">
        <v>2</v>
      </c>
      <c r="D301" s="89"/>
      <c r="E301" s="94">
        <v>27244</v>
      </c>
      <c r="F301" s="88">
        <v>3</v>
      </c>
      <c r="G301" s="89" t="s">
        <v>5587</v>
      </c>
      <c r="H301" s="89" t="s">
        <v>5343</v>
      </c>
      <c r="I301" s="89" t="s">
        <v>71</v>
      </c>
      <c r="J301" s="89" t="s">
        <v>4282</v>
      </c>
      <c r="K301" s="89" t="str">
        <f>"00047444"</f>
        <v>00047444</v>
      </c>
    </row>
    <row r="302" spans="1:11" x14ac:dyDescent="0.25">
      <c r="A302" s="148" t="s">
        <v>6196</v>
      </c>
      <c r="B302" s="149"/>
      <c r="C302" s="149"/>
      <c r="D302" s="149"/>
      <c r="E302" s="94">
        <f>SUM(E300:E301)</f>
        <v>42798</v>
      </c>
      <c r="F302" s="88"/>
      <c r="G302" s="145"/>
      <c r="H302" s="145"/>
      <c r="I302" s="145"/>
      <c r="J302" s="145"/>
      <c r="K302" s="145"/>
    </row>
    <row r="303" spans="1:11" x14ac:dyDescent="0.25">
      <c r="A303" s="168" t="s">
        <v>882</v>
      </c>
      <c r="B303" s="168"/>
      <c r="C303" s="168"/>
      <c r="D303" s="168"/>
      <c r="E303" s="168"/>
      <c r="F303" s="168"/>
      <c r="G303" s="168"/>
      <c r="H303" s="168"/>
      <c r="I303" s="168"/>
      <c r="J303" s="168"/>
      <c r="K303" s="168"/>
    </row>
    <row r="304" spans="1:11" ht="15.75" customHeight="1" x14ac:dyDescent="0.25">
      <c r="A304" s="169" t="s">
        <v>6197</v>
      </c>
      <c r="B304" s="169"/>
      <c r="C304" s="169"/>
      <c r="D304" s="169"/>
      <c r="E304" s="169"/>
      <c r="F304" s="169"/>
      <c r="G304" s="169"/>
      <c r="H304" s="169"/>
      <c r="I304" s="169"/>
      <c r="J304" s="169"/>
      <c r="K304" s="169"/>
    </row>
    <row r="305" spans="1:11" ht="28.5" x14ac:dyDescent="0.25">
      <c r="A305" s="88">
        <v>108</v>
      </c>
      <c r="B305" s="89" t="s">
        <v>12</v>
      </c>
      <c r="C305" s="25" t="s">
        <v>2</v>
      </c>
      <c r="D305" s="90">
        <v>5539000</v>
      </c>
      <c r="E305" s="95"/>
      <c r="F305" s="88">
        <v>7</v>
      </c>
      <c r="G305" s="89" t="s">
        <v>52</v>
      </c>
      <c r="H305" s="89"/>
      <c r="I305" s="89" t="s">
        <v>4696</v>
      </c>
      <c r="J305" s="89"/>
      <c r="K305" s="89" t="str">
        <f>"　"</f>
        <v>　</v>
      </c>
    </row>
    <row r="306" spans="1:11" ht="42.75" x14ac:dyDescent="0.25">
      <c r="A306" s="88">
        <v>108</v>
      </c>
      <c r="B306" s="89" t="s">
        <v>58</v>
      </c>
      <c r="C306" s="25" t="s">
        <v>2</v>
      </c>
      <c r="D306" s="95"/>
      <c r="E306" s="95">
        <v>19413</v>
      </c>
      <c r="F306" s="88">
        <v>7</v>
      </c>
      <c r="G306" s="89" t="s">
        <v>4715</v>
      </c>
      <c r="H306" s="89" t="s">
        <v>4716</v>
      </c>
      <c r="I306" s="89" t="s">
        <v>4699</v>
      </c>
      <c r="J306" s="89" t="s">
        <v>4717</v>
      </c>
      <c r="K306" s="89" t="str">
        <f>"00046964"</f>
        <v>00046964</v>
      </c>
    </row>
    <row r="307" spans="1:11" ht="42.75" x14ac:dyDescent="0.25">
      <c r="A307" s="88">
        <v>108</v>
      </c>
      <c r="B307" s="89" t="s">
        <v>4700</v>
      </c>
      <c r="C307" s="25" t="s">
        <v>2</v>
      </c>
      <c r="D307" s="95"/>
      <c r="E307" s="95">
        <v>4766</v>
      </c>
      <c r="F307" s="88">
        <v>7</v>
      </c>
      <c r="G307" s="89" t="s">
        <v>69</v>
      </c>
      <c r="H307" s="89" t="s">
        <v>4718</v>
      </c>
      <c r="I307" s="89" t="s">
        <v>4699</v>
      </c>
      <c r="J307" s="89" t="s">
        <v>72</v>
      </c>
      <c r="K307" s="89" t="str">
        <f>"00048626"</f>
        <v>00048626</v>
      </c>
    </row>
    <row r="308" spans="1:11" ht="42.75" x14ac:dyDescent="0.25">
      <c r="A308" s="88">
        <v>108</v>
      </c>
      <c r="B308" s="89" t="s">
        <v>77</v>
      </c>
      <c r="C308" s="25" t="s">
        <v>2</v>
      </c>
      <c r="D308" s="95"/>
      <c r="E308" s="95">
        <v>6292</v>
      </c>
      <c r="F308" s="88">
        <v>7</v>
      </c>
      <c r="G308" s="89" t="s">
        <v>4719</v>
      </c>
      <c r="H308" s="89" t="s">
        <v>4720</v>
      </c>
      <c r="I308" s="89" t="s">
        <v>4721</v>
      </c>
      <c r="J308" s="89" t="s">
        <v>4282</v>
      </c>
      <c r="K308" s="89" t="str">
        <f>"00047139"</f>
        <v>00047139</v>
      </c>
    </row>
    <row r="309" spans="1:11" ht="42.75" x14ac:dyDescent="0.25">
      <c r="A309" s="88">
        <v>108</v>
      </c>
      <c r="B309" s="89" t="s">
        <v>68</v>
      </c>
      <c r="C309" s="25" t="s">
        <v>2</v>
      </c>
      <c r="D309" s="95"/>
      <c r="E309" s="95">
        <v>2693</v>
      </c>
      <c r="F309" s="88">
        <v>7</v>
      </c>
      <c r="G309" s="89" t="s">
        <v>69</v>
      </c>
      <c r="H309" s="89" t="s">
        <v>70</v>
      </c>
      <c r="I309" s="89" t="s">
        <v>4699</v>
      </c>
      <c r="J309" s="89" t="s">
        <v>72</v>
      </c>
      <c r="K309" s="89" t="str">
        <f>"00046472"</f>
        <v>00046472</v>
      </c>
    </row>
    <row r="310" spans="1:11" ht="42.75" x14ac:dyDescent="0.25">
      <c r="A310" s="88">
        <v>108</v>
      </c>
      <c r="B310" s="89" t="s">
        <v>73</v>
      </c>
      <c r="C310" s="25" t="s">
        <v>2</v>
      </c>
      <c r="D310" s="95"/>
      <c r="E310" s="95">
        <v>82411</v>
      </c>
      <c r="F310" s="88">
        <v>7</v>
      </c>
      <c r="G310" s="89" t="s">
        <v>74</v>
      </c>
      <c r="H310" s="89" t="s">
        <v>75</v>
      </c>
      <c r="I310" s="89" t="s">
        <v>4722</v>
      </c>
      <c r="J310" s="89" t="s">
        <v>76</v>
      </c>
      <c r="K310" s="89" t="str">
        <f>"00046477"</f>
        <v>00046477</v>
      </c>
    </row>
    <row r="311" spans="1:11" ht="42.75" x14ac:dyDescent="0.25">
      <c r="A311" s="88">
        <v>108</v>
      </c>
      <c r="B311" s="89" t="s">
        <v>3442</v>
      </c>
      <c r="C311" s="25" t="s">
        <v>2</v>
      </c>
      <c r="D311" s="95"/>
      <c r="E311" s="95">
        <v>100000</v>
      </c>
      <c r="F311" s="88">
        <v>7</v>
      </c>
      <c r="G311" s="89" t="s">
        <v>4723</v>
      </c>
      <c r="H311" s="89" t="s">
        <v>4724</v>
      </c>
      <c r="I311" s="89" t="s">
        <v>4706</v>
      </c>
      <c r="J311" s="89" t="s">
        <v>4174</v>
      </c>
      <c r="K311" s="89" t="str">
        <f>"00047171"</f>
        <v>00047171</v>
      </c>
    </row>
    <row r="312" spans="1:11" ht="42.75" x14ac:dyDescent="0.25">
      <c r="A312" s="88">
        <v>108</v>
      </c>
      <c r="B312" s="89" t="s">
        <v>4725</v>
      </c>
      <c r="C312" s="25" t="s">
        <v>2</v>
      </c>
      <c r="D312" s="95"/>
      <c r="E312" s="95">
        <v>17260</v>
      </c>
      <c r="F312" s="88">
        <v>7</v>
      </c>
      <c r="G312" s="89" t="s">
        <v>4726</v>
      </c>
      <c r="H312" s="89" t="s">
        <v>2918</v>
      </c>
      <c r="I312" s="89" t="s">
        <v>4727</v>
      </c>
      <c r="J312" s="89" t="s">
        <v>4728</v>
      </c>
      <c r="K312" s="89" t="str">
        <f>"00048522"</f>
        <v>00048522</v>
      </c>
    </row>
    <row r="313" spans="1:11" ht="42.75" x14ac:dyDescent="0.25">
      <c r="A313" s="88">
        <v>108</v>
      </c>
      <c r="B313" s="89" t="s">
        <v>3442</v>
      </c>
      <c r="C313" s="25" t="s">
        <v>2</v>
      </c>
      <c r="D313" s="95"/>
      <c r="E313" s="95">
        <v>106123</v>
      </c>
      <c r="F313" s="88">
        <v>7</v>
      </c>
      <c r="G313" s="89" t="s">
        <v>4729</v>
      </c>
      <c r="H313" s="89" t="s">
        <v>4730</v>
      </c>
      <c r="I313" s="89" t="s">
        <v>4706</v>
      </c>
      <c r="J313" s="89" t="s">
        <v>4174</v>
      </c>
      <c r="K313" s="89" t="str">
        <f>"00051557"</f>
        <v>00051557</v>
      </c>
    </row>
    <row r="314" spans="1:11" ht="42.75" x14ac:dyDescent="0.25">
      <c r="A314" s="88">
        <v>108</v>
      </c>
      <c r="B314" s="89" t="s">
        <v>4731</v>
      </c>
      <c r="C314" s="25" t="s">
        <v>2</v>
      </c>
      <c r="D314" s="95"/>
      <c r="E314" s="95">
        <v>24988</v>
      </c>
      <c r="F314" s="88">
        <v>7</v>
      </c>
      <c r="G314" s="89" t="s">
        <v>4732</v>
      </c>
      <c r="H314" s="89" t="s">
        <v>4733</v>
      </c>
      <c r="I314" s="89" t="s">
        <v>4734</v>
      </c>
      <c r="J314" s="89" t="s">
        <v>4735</v>
      </c>
      <c r="K314" s="89" t="str">
        <f>"00049731"</f>
        <v>00049731</v>
      </c>
    </row>
    <row r="315" spans="1:11" ht="57" x14ac:dyDescent="0.25">
      <c r="A315" s="88">
        <v>108</v>
      </c>
      <c r="B315" s="89" t="s">
        <v>4697</v>
      </c>
      <c r="C315" s="25" t="s">
        <v>2</v>
      </c>
      <c r="D315" s="95"/>
      <c r="E315" s="95">
        <v>8875</v>
      </c>
      <c r="F315" s="88">
        <v>7</v>
      </c>
      <c r="G315" s="89" t="s">
        <v>4736</v>
      </c>
      <c r="H315" s="89" t="s">
        <v>4481</v>
      </c>
      <c r="I315" s="89" t="s">
        <v>4699</v>
      </c>
      <c r="J315" s="89" t="s">
        <v>72</v>
      </c>
      <c r="K315" s="89" t="str">
        <f>"00049457"</f>
        <v>00049457</v>
      </c>
    </row>
    <row r="316" spans="1:11" ht="42.75" x14ac:dyDescent="0.25">
      <c r="A316" s="88">
        <v>108</v>
      </c>
      <c r="B316" s="89" t="s">
        <v>77</v>
      </c>
      <c r="C316" s="25" t="s">
        <v>2</v>
      </c>
      <c r="D316" s="95"/>
      <c r="E316" s="95">
        <v>27880</v>
      </c>
      <c r="F316" s="88">
        <v>7</v>
      </c>
      <c r="G316" s="89" t="s">
        <v>4737</v>
      </c>
      <c r="H316" s="89" t="s">
        <v>4738</v>
      </c>
      <c r="I316" s="89" t="s">
        <v>4722</v>
      </c>
      <c r="J316" s="89" t="s">
        <v>4739</v>
      </c>
      <c r="K316" s="89" t="str">
        <f>"00049730"</f>
        <v>00049730</v>
      </c>
    </row>
    <row r="317" spans="1:11" ht="49.5" customHeight="1" x14ac:dyDescent="0.25">
      <c r="A317" s="88">
        <v>108</v>
      </c>
      <c r="B317" s="89" t="s">
        <v>73</v>
      </c>
      <c r="C317" s="25" t="s">
        <v>2</v>
      </c>
      <c r="D317" s="95"/>
      <c r="E317" s="95">
        <v>47253</v>
      </c>
      <c r="F317" s="88">
        <v>7</v>
      </c>
      <c r="G317" s="89" t="s">
        <v>4740</v>
      </c>
      <c r="H317" s="89" t="s">
        <v>4741</v>
      </c>
      <c r="I317" s="89" t="s">
        <v>4727</v>
      </c>
      <c r="J317" s="89" t="s">
        <v>4728</v>
      </c>
      <c r="K317" s="89" t="str">
        <f>"00051850"</f>
        <v>00051850</v>
      </c>
    </row>
    <row r="318" spans="1:11" ht="62.25" customHeight="1" x14ac:dyDescent="0.25">
      <c r="A318" s="88">
        <v>108</v>
      </c>
      <c r="B318" s="89" t="s">
        <v>77</v>
      </c>
      <c r="C318" s="25" t="s">
        <v>2</v>
      </c>
      <c r="D318" s="95"/>
      <c r="E318" s="95">
        <v>72973</v>
      </c>
      <c r="F318" s="88">
        <v>7</v>
      </c>
      <c r="G318" s="89" t="s">
        <v>4742</v>
      </c>
      <c r="H318" s="89" t="s">
        <v>4743</v>
      </c>
      <c r="I318" s="89" t="s">
        <v>4722</v>
      </c>
      <c r="J318" s="89" t="s">
        <v>4739</v>
      </c>
      <c r="K318" s="89" t="str">
        <f>"00051847"</f>
        <v>00051847</v>
      </c>
    </row>
    <row r="319" spans="1:11" ht="42.75" x14ac:dyDescent="0.25">
      <c r="A319" s="88">
        <v>108</v>
      </c>
      <c r="B319" s="89" t="s">
        <v>4748</v>
      </c>
      <c r="C319" s="25" t="s">
        <v>2</v>
      </c>
      <c r="D319" s="95"/>
      <c r="E319" s="95">
        <v>191</v>
      </c>
      <c r="F319" s="88">
        <v>7</v>
      </c>
      <c r="G319" s="89" t="s">
        <v>69</v>
      </c>
      <c r="H319" s="89" t="s">
        <v>70</v>
      </c>
      <c r="I319" s="89" t="s">
        <v>71</v>
      </c>
      <c r="J319" s="89" t="s">
        <v>72</v>
      </c>
      <c r="K319" s="89" t="str">
        <f>"00046473"</f>
        <v>00046473</v>
      </c>
    </row>
    <row r="320" spans="1:11" ht="22.5" customHeight="1" x14ac:dyDescent="0.25">
      <c r="A320" s="145">
        <v>108</v>
      </c>
      <c r="B320" s="148" t="s">
        <v>4749</v>
      </c>
      <c r="C320" s="159" t="s">
        <v>2</v>
      </c>
      <c r="D320" s="160"/>
      <c r="E320" s="160">
        <v>220</v>
      </c>
      <c r="F320" s="145">
        <v>7</v>
      </c>
      <c r="G320" s="148" t="s">
        <v>4750</v>
      </c>
      <c r="H320" s="148" t="s">
        <v>4751</v>
      </c>
      <c r="I320" s="148" t="s">
        <v>71</v>
      </c>
      <c r="J320" s="148" t="s">
        <v>4728</v>
      </c>
      <c r="K320" s="148" t="str">
        <f>"00048513"</f>
        <v>00048513</v>
      </c>
    </row>
    <row r="321" spans="1:11" x14ac:dyDescent="0.25">
      <c r="A321" s="145"/>
      <c r="B321" s="148"/>
      <c r="C321" s="159"/>
      <c r="D321" s="160"/>
      <c r="E321" s="160"/>
      <c r="F321" s="145"/>
      <c r="G321" s="148"/>
      <c r="H321" s="148"/>
      <c r="I321" s="148"/>
      <c r="J321" s="148"/>
      <c r="K321" s="148"/>
    </row>
    <row r="322" spans="1:11" ht="50.85" customHeight="1" x14ac:dyDescent="0.25">
      <c r="A322" s="145"/>
      <c r="B322" s="148"/>
      <c r="C322" s="159"/>
      <c r="D322" s="160"/>
      <c r="E322" s="160"/>
      <c r="F322" s="145"/>
      <c r="G322" s="148"/>
      <c r="H322" s="148"/>
      <c r="I322" s="148"/>
      <c r="J322" s="148"/>
      <c r="K322" s="148"/>
    </row>
    <row r="323" spans="1:11" x14ac:dyDescent="0.25">
      <c r="A323" s="161" t="s">
        <v>6198</v>
      </c>
      <c r="B323" s="153"/>
      <c r="C323" s="153"/>
      <c r="D323" s="153"/>
      <c r="E323" s="95">
        <f>SUM(E305:E322)</f>
        <v>521338</v>
      </c>
      <c r="F323" s="145"/>
      <c r="G323" s="145"/>
      <c r="H323" s="145"/>
      <c r="I323" s="145"/>
      <c r="J323" s="145"/>
      <c r="K323" s="145"/>
    </row>
    <row r="324" spans="1:11" ht="15.75" customHeight="1" x14ac:dyDescent="0.25">
      <c r="A324" s="170" t="s">
        <v>6199</v>
      </c>
      <c r="B324" s="170"/>
      <c r="C324" s="170"/>
      <c r="D324" s="170"/>
      <c r="E324" s="170"/>
      <c r="F324" s="170"/>
      <c r="G324" s="170"/>
      <c r="H324" s="170"/>
      <c r="I324" s="170"/>
      <c r="J324" s="170"/>
      <c r="K324" s="170"/>
    </row>
    <row r="325" spans="1:11" ht="28.5" x14ac:dyDescent="0.25">
      <c r="A325" s="88">
        <v>108</v>
      </c>
      <c r="B325" s="89" t="s">
        <v>12</v>
      </c>
      <c r="C325" s="25" t="s">
        <v>2</v>
      </c>
      <c r="D325" s="94">
        <v>5539000</v>
      </c>
      <c r="E325" s="89"/>
      <c r="F325" s="88">
        <v>7</v>
      </c>
      <c r="G325" s="89" t="s">
        <v>52</v>
      </c>
      <c r="H325" s="89"/>
      <c r="I325" s="89" t="s">
        <v>4696</v>
      </c>
      <c r="J325" s="89"/>
      <c r="K325" s="89" t="str">
        <f>"　"</f>
        <v>　</v>
      </c>
    </row>
    <row r="326" spans="1:11" ht="85.5" x14ac:dyDescent="0.25">
      <c r="A326" s="88">
        <v>108</v>
      </c>
      <c r="B326" s="89" t="s">
        <v>5535</v>
      </c>
      <c r="C326" s="25" t="s">
        <v>2</v>
      </c>
      <c r="D326" s="89"/>
      <c r="E326" s="94">
        <v>44510</v>
      </c>
      <c r="F326" s="88">
        <v>7</v>
      </c>
      <c r="G326" s="89" t="s">
        <v>5536</v>
      </c>
      <c r="H326" s="89" t="s">
        <v>5537</v>
      </c>
      <c r="I326" s="89" t="s">
        <v>4727</v>
      </c>
      <c r="J326" s="89" t="s">
        <v>4728</v>
      </c>
      <c r="K326" s="89" t="s">
        <v>6200</v>
      </c>
    </row>
    <row r="327" spans="1:11" ht="128.25" x14ac:dyDescent="0.25">
      <c r="A327" s="88">
        <v>108</v>
      </c>
      <c r="B327" s="89" t="s">
        <v>5538</v>
      </c>
      <c r="C327" s="25" t="s">
        <v>2</v>
      </c>
      <c r="D327" s="89"/>
      <c r="E327" s="94">
        <v>45257</v>
      </c>
      <c r="F327" s="88">
        <v>7</v>
      </c>
      <c r="G327" s="89" t="s">
        <v>5539</v>
      </c>
      <c r="H327" s="89" t="s">
        <v>2403</v>
      </c>
      <c r="I327" s="89" t="s">
        <v>4727</v>
      </c>
      <c r="J327" s="89" t="s">
        <v>4728</v>
      </c>
      <c r="K327" s="89" t="s">
        <v>6201</v>
      </c>
    </row>
    <row r="328" spans="1:11" ht="99.75" x14ac:dyDescent="0.25">
      <c r="A328" s="88">
        <v>108</v>
      </c>
      <c r="B328" s="89" t="s">
        <v>5540</v>
      </c>
      <c r="C328" s="25" t="s">
        <v>2</v>
      </c>
      <c r="D328" s="89"/>
      <c r="E328" s="94">
        <v>150000</v>
      </c>
      <c r="F328" s="88">
        <v>7</v>
      </c>
      <c r="G328" s="89" t="s">
        <v>5541</v>
      </c>
      <c r="H328" s="89" t="s">
        <v>5542</v>
      </c>
      <c r="I328" s="89" t="s">
        <v>5543</v>
      </c>
      <c r="J328" s="89" t="s">
        <v>5544</v>
      </c>
      <c r="K328" s="89" t="s">
        <v>6202</v>
      </c>
    </row>
    <row r="329" spans="1:11" ht="71.25" x14ac:dyDescent="0.25">
      <c r="A329" s="88">
        <v>108</v>
      </c>
      <c r="B329" s="89" t="s">
        <v>5545</v>
      </c>
      <c r="C329" s="25" t="s">
        <v>2</v>
      </c>
      <c r="D329" s="89"/>
      <c r="E329" s="94">
        <v>119131</v>
      </c>
      <c r="F329" s="88">
        <v>7</v>
      </c>
      <c r="G329" s="89" t="s">
        <v>5546</v>
      </c>
      <c r="H329" s="89" t="s">
        <v>5547</v>
      </c>
      <c r="I329" s="89" t="s">
        <v>4727</v>
      </c>
      <c r="J329" s="89" t="s">
        <v>4728</v>
      </c>
      <c r="K329" s="89" t="s">
        <v>6203</v>
      </c>
    </row>
    <row r="330" spans="1:11" ht="42.75" x14ac:dyDescent="0.25">
      <c r="A330" s="88">
        <v>108</v>
      </c>
      <c r="B330" s="89" t="s">
        <v>85</v>
      </c>
      <c r="C330" s="25" t="s">
        <v>2</v>
      </c>
      <c r="D330" s="89"/>
      <c r="E330" s="94">
        <v>68602</v>
      </c>
      <c r="F330" s="88">
        <v>7</v>
      </c>
      <c r="G330" s="89" t="s">
        <v>5548</v>
      </c>
      <c r="H330" s="89" t="s">
        <v>3422</v>
      </c>
      <c r="I330" s="89" t="s">
        <v>4706</v>
      </c>
      <c r="J330" s="89" t="s">
        <v>4174</v>
      </c>
      <c r="K330" s="67" t="s">
        <v>6204</v>
      </c>
    </row>
    <row r="331" spans="1:11" ht="85.5" x14ac:dyDescent="0.25">
      <c r="A331" s="88">
        <v>108</v>
      </c>
      <c r="B331" s="89" t="s">
        <v>4176</v>
      </c>
      <c r="C331" s="25" t="s">
        <v>2</v>
      </c>
      <c r="D331" s="89"/>
      <c r="E331" s="94">
        <v>47382</v>
      </c>
      <c r="F331" s="88">
        <v>7</v>
      </c>
      <c r="G331" s="89" t="s">
        <v>5549</v>
      </c>
      <c r="H331" s="89" t="s">
        <v>4620</v>
      </c>
      <c r="I331" s="89" t="s">
        <v>5550</v>
      </c>
      <c r="J331" s="89" t="s">
        <v>5551</v>
      </c>
      <c r="K331" s="89" t="str">
        <f>"00052612"</f>
        <v>00052612</v>
      </c>
    </row>
    <row r="332" spans="1:11" ht="85.5" x14ac:dyDescent="0.25">
      <c r="A332" s="88">
        <v>108</v>
      </c>
      <c r="B332" s="89" t="s">
        <v>4176</v>
      </c>
      <c r="C332" s="25" t="s">
        <v>2</v>
      </c>
      <c r="D332" s="89"/>
      <c r="E332" s="94">
        <v>34048</v>
      </c>
      <c r="F332" s="88">
        <v>7</v>
      </c>
      <c r="G332" s="89" t="s">
        <v>5552</v>
      </c>
      <c r="H332" s="89" t="s">
        <v>5553</v>
      </c>
      <c r="I332" s="89" t="s">
        <v>71</v>
      </c>
      <c r="J332" s="89" t="s">
        <v>4174</v>
      </c>
      <c r="K332" s="89" t="str">
        <f>"00050374"</f>
        <v>00050374</v>
      </c>
    </row>
    <row r="333" spans="1:11" ht="57" x14ac:dyDescent="0.25">
      <c r="A333" s="88">
        <v>108</v>
      </c>
      <c r="B333" s="89" t="s">
        <v>5588</v>
      </c>
      <c r="C333" s="25" t="s">
        <v>2</v>
      </c>
      <c r="D333" s="89"/>
      <c r="E333" s="94">
        <v>46816</v>
      </c>
      <c r="F333" s="88">
        <v>7</v>
      </c>
      <c r="G333" s="89" t="s">
        <v>5554</v>
      </c>
      <c r="H333" s="89" t="s">
        <v>5522</v>
      </c>
      <c r="I333" s="89" t="s">
        <v>71</v>
      </c>
      <c r="J333" s="89" t="s">
        <v>4174</v>
      </c>
      <c r="K333" s="89" t="str">
        <f>"00051978"</f>
        <v>00051978</v>
      </c>
    </row>
    <row r="334" spans="1:11" ht="85.5" x14ac:dyDescent="0.25">
      <c r="A334" s="47">
        <v>108</v>
      </c>
      <c r="B334" s="48" t="s">
        <v>4176</v>
      </c>
      <c r="C334" s="121" t="s">
        <v>2</v>
      </c>
      <c r="D334" s="48"/>
      <c r="E334" s="49">
        <v>-19165</v>
      </c>
      <c r="F334" s="47">
        <v>4</v>
      </c>
      <c r="G334" s="48" t="s">
        <v>5525</v>
      </c>
      <c r="H334" s="48" t="s">
        <v>5526</v>
      </c>
      <c r="I334" s="48" t="s">
        <v>71</v>
      </c>
      <c r="J334" s="48" t="s">
        <v>4174</v>
      </c>
      <c r="K334" s="48" t="s">
        <v>6205</v>
      </c>
    </row>
    <row r="335" spans="1:11" x14ac:dyDescent="0.25">
      <c r="A335" s="172" t="s">
        <v>6206</v>
      </c>
      <c r="B335" s="149"/>
      <c r="C335" s="149"/>
      <c r="D335" s="149"/>
      <c r="E335" s="49">
        <f>SUM(E325:E334)</f>
        <v>536581</v>
      </c>
      <c r="F335" s="171"/>
      <c r="G335" s="171"/>
      <c r="H335" s="171"/>
      <c r="I335" s="171"/>
      <c r="J335" s="171"/>
      <c r="K335" s="171"/>
    </row>
    <row r="336" spans="1:11" x14ac:dyDescent="0.25">
      <c r="A336" s="148" t="s">
        <v>4788</v>
      </c>
      <c r="B336" s="149"/>
      <c r="C336" s="149"/>
      <c r="D336" s="149"/>
      <c r="E336" s="150"/>
      <c r="F336" s="150"/>
      <c r="G336" s="150"/>
      <c r="H336" s="150"/>
      <c r="I336" s="150"/>
      <c r="J336" s="150"/>
      <c r="K336" s="150"/>
    </row>
    <row r="337" spans="1:11" ht="28.5" x14ac:dyDescent="0.25">
      <c r="A337" s="88">
        <v>108</v>
      </c>
      <c r="B337" s="89" t="s">
        <v>12</v>
      </c>
      <c r="C337" s="25" t="s">
        <v>2</v>
      </c>
      <c r="D337" s="94">
        <v>4109000</v>
      </c>
      <c r="E337" s="89"/>
      <c r="F337" s="88">
        <v>4</v>
      </c>
      <c r="G337" s="89" t="s">
        <v>52</v>
      </c>
      <c r="H337" s="89"/>
      <c r="I337" s="89" t="s">
        <v>4696</v>
      </c>
      <c r="J337" s="89"/>
      <c r="K337" s="89" t="str">
        <f>"　"</f>
        <v>　</v>
      </c>
    </row>
    <row r="338" spans="1:11" ht="42.75" x14ac:dyDescent="0.25">
      <c r="A338" s="88">
        <v>108</v>
      </c>
      <c r="B338" s="89" t="s">
        <v>145</v>
      </c>
      <c r="C338" s="25" t="s">
        <v>2</v>
      </c>
      <c r="D338" s="89"/>
      <c r="E338" s="94">
        <v>64001</v>
      </c>
      <c r="F338" s="88">
        <v>4</v>
      </c>
      <c r="G338" s="89" t="s">
        <v>4780</v>
      </c>
      <c r="H338" s="89" t="s">
        <v>533</v>
      </c>
      <c r="I338" s="89" t="s">
        <v>4781</v>
      </c>
      <c r="J338" s="89" t="s">
        <v>2108</v>
      </c>
      <c r="K338" s="89" t="s">
        <v>6747</v>
      </c>
    </row>
    <row r="339" spans="1:11" ht="71.25" x14ac:dyDescent="0.25">
      <c r="A339" s="88">
        <v>108</v>
      </c>
      <c r="B339" s="89" t="s">
        <v>1681</v>
      </c>
      <c r="C339" s="25" t="s">
        <v>2</v>
      </c>
      <c r="D339" s="89"/>
      <c r="E339" s="94">
        <v>25035</v>
      </c>
      <c r="F339" s="88">
        <v>4</v>
      </c>
      <c r="G339" s="89" t="s">
        <v>4782</v>
      </c>
      <c r="H339" s="89" t="s">
        <v>4783</v>
      </c>
      <c r="I339" s="89" t="s">
        <v>4727</v>
      </c>
      <c r="J339" s="89" t="s">
        <v>4728</v>
      </c>
      <c r="K339" s="89" t="s">
        <v>6207</v>
      </c>
    </row>
    <row r="340" spans="1:11" ht="42.75" x14ac:dyDescent="0.25">
      <c r="A340" s="88">
        <v>108</v>
      </c>
      <c r="B340" s="89" t="s">
        <v>4784</v>
      </c>
      <c r="C340" s="25" t="s">
        <v>2</v>
      </c>
      <c r="D340" s="89"/>
      <c r="E340" s="94">
        <v>17086</v>
      </c>
      <c r="F340" s="88">
        <v>4</v>
      </c>
      <c r="G340" s="89" t="s">
        <v>4785</v>
      </c>
      <c r="H340" s="89" t="s">
        <v>4786</v>
      </c>
      <c r="I340" s="89" t="s">
        <v>4787</v>
      </c>
      <c r="J340" s="89" t="s">
        <v>4746</v>
      </c>
      <c r="K340" s="89" t="s">
        <v>6748</v>
      </c>
    </row>
    <row r="341" spans="1:11" x14ac:dyDescent="0.25">
      <c r="A341" s="147" t="s">
        <v>6208</v>
      </c>
      <c r="B341" s="147"/>
      <c r="C341" s="147"/>
      <c r="D341" s="147"/>
      <c r="E341" s="127">
        <f>SUM(E337:E340)</f>
        <v>106122</v>
      </c>
      <c r="F341" s="135"/>
      <c r="G341" s="135"/>
      <c r="H341" s="135"/>
      <c r="I341" s="135"/>
      <c r="J341" s="135"/>
      <c r="K341" s="135"/>
    </row>
    <row r="342" spans="1:11" x14ac:dyDescent="0.25">
      <c r="A342" s="147" t="s">
        <v>6209</v>
      </c>
      <c r="B342" s="147"/>
      <c r="C342" s="147"/>
      <c r="D342" s="147"/>
      <c r="E342" s="147"/>
      <c r="F342" s="147"/>
      <c r="G342" s="147"/>
      <c r="H342" s="147"/>
      <c r="I342" s="147"/>
      <c r="J342" s="147"/>
      <c r="K342" s="147"/>
    </row>
    <row r="343" spans="1:11" ht="28.5" x14ac:dyDescent="0.25">
      <c r="A343" s="88">
        <v>108</v>
      </c>
      <c r="B343" s="89" t="s">
        <v>12</v>
      </c>
      <c r="C343" s="25" t="s">
        <v>2</v>
      </c>
      <c r="D343" s="94">
        <v>5539000</v>
      </c>
      <c r="E343" s="89"/>
      <c r="F343" s="88">
        <v>7</v>
      </c>
      <c r="G343" s="89" t="s">
        <v>52</v>
      </c>
      <c r="H343" s="89"/>
      <c r="I343" s="89" t="s">
        <v>4696</v>
      </c>
      <c r="J343" s="89"/>
      <c r="K343" s="89" t="str">
        <f>"　"</f>
        <v>　</v>
      </c>
    </row>
    <row r="344" spans="1:11" ht="42.75" x14ac:dyDescent="0.25">
      <c r="A344" s="88">
        <v>108</v>
      </c>
      <c r="B344" s="89" t="s">
        <v>195</v>
      </c>
      <c r="C344" s="25" t="s">
        <v>2</v>
      </c>
      <c r="D344" s="89"/>
      <c r="E344" s="94">
        <v>43248</v>
      </c>
      <c r="F344" s="88">
        <v>7</v>
      </c>
      <c r="G344" s="89" t="s">
        <v>4841</v>
      </c>
      <c r="H344" s="89" t="s">
        <v>4842</v>
      </c>
      <c r="I344" s="89" t="s">
        <v>4722</v>
      </c>
      <c r="J344" s="89" t="s">
        <v>76</v>
      </c>
      <c r="K344" s="89" t="str">
        <f>"00048128"</f>
        <v>00048128</v>
      </c>
    </row>
    <row r="345" spans="1:11" ht="65.25" customHeight="1" x14ac:dyDescent="0.25">
      <c r="A345" s="88">
        <v>108</v>
      </c>
      <c r="B345" s="89" t="s">
        <v>195</v>
      </c>
      <c r="C345" s="25" t="s">
        <v>2</v>
      </c>
      <c r="D345" s="89"/>
      <c r="E345" s="94">
        <v>12859</v>
      </c>
      <c r="F345" s="88">
        <v>7</v>
      </c>
      <c r="G345" s="89" t="s">
        <v>4843</v>
      </c>
      <c r="H345" s="89" t="s">
        <v>4844</v>
      </c>
      <c r="I345" s="89" t="s">
        <v>4845</v>
      </c>
      <c r="J345" s="89" t="s">
        <v>4846</v>
      </c>
      <c r="K345" s="89" t="str">
        <f>"00047022"</f>
        <v>00047022</v>
      </c>
    </row>
    <row r="346" spans="1:11" ht="68.25" customHeight="1" x14ac:dyDescent="0.25">
      <c r="A346" s="88">
        <v>108</v>
      </c>
      <c r="B346" s="89" t="s">
        <v>3584</v>
      </c>
      <c r="C346" s="25" t="s">
        <v>2</v>
      </c>
      <c r="D346" s="89"/>
      <c r="E346" s="94">
        <v>57420</v>
      </c>
      <c r="F346" s="88">
        <v>7</v>
      </c>
      <c r="G346" s="89" t="s">
        <v>4847</v>
      </c>
      <c r="H346" s="89" t="s">
        <v>228</v>
      </c>
      <c r="I346" s="89" t="s">
        <v>4727</v>
      </c>
      <c r="J346" s="89" t="s">
        <v>4728</v>
      </c>
      <c r="K346" s="89" t="str">
        <f>"00049136"</f>
        <v>00049136</v>
      </c>
    </row>
    <row r="347" spans="1:11" ht="57" x14ac:dyDescent="0.25">
      <c r="A347" s="88">
        <v>108</v>
      </c>
      <c r="B347" s="89" t="s">
        <v>3584</v>
      </c>
      <c r="C347" s="25" t="s">
        <v>2</v>
      </c>
      <c r="D347" s="89"/>
      <c r="E347" s="94">
        <v>31226</v>
      </c>
      <c r="F347" s="88">
        <v>7</v>
      </c>
      <c r="G347" s="89" t="s">
        <v>4848</v>
      </c>
      <c r="H347" s="89" t="s">
        <v>1253</v>
      </c>
      <c r="I347" s="89" t="s">
        <v>4831</v>
      </c>
      <c r="J347" s="89" t="s">
        <v>4832</v>
      </c>
      <c r="K347" s="89" t="str">
        <f>"00047979"</f>
        <v>00047979</v>
      </c>
    </row>
    <row r="348" spans="1:11" ht="85.5" x14ac:dyDescent="0.25">
      <c r="A348" s="88">
        <v>108</v>
      </c>
      <c r="B348" s="89" t="s">
        <v>4849</v>
      </c>
      <c r="C348" s="25" t="s">
        <v>2</v>
      </c>
      <c r="D348" s="89"/>
      <c r="E348" s="94">
        <v>31496</v>
      </c>
      <c r="F348" s="88">
        <v>7</v>
      </c>
      <c r="G348" s="89" t="s">
        <v>4850</v>
      </c>
      <c r="H348" s="89" t="s">
        <v>4851</v>
      </c>
      <c r="I348" s="89" t="s">
        <v>4809</v>
      </c>
      <c r="J348" s="89" t="s">
        <v>4810</v>
      </c>
      <c r="K348" s="89" t="str">
        <f>"00048682"</f>
        <v>00048682</v>
      </c>
    </row>
    <row r="349" spans="1:11" ht="42.75" x14ac:dyDescent="0.25">
      <c r="A349" s="88">
        <v>108</v>
      </c>
      <c r="B349" s="89" t="s">
        <v>983</v>
      </c>
      <c r="C349" s="25" t="s">
        <v>2</v>
      </c>
      <c r="D349" s="89"/>
      <c r="E349" s="94">
        <v>52939</v>
      </c>
      <c r="F349" s="88">
        <v>7</v>
      </c>
      <c r="G349" s="89" t="s">
        <v>4852</v>
      </c>
      <c r="H349" s="89" t="s">
        <v>4853</v>
      </c>
      <c r="I349" s="89" t="s">
        <v>4854</v>
      </c>
      <c r="J349" s="89" t="s">
        <v>4855</v>
      </c>
      <c r="K349" s="89" t="str">
        <f>"00049758"</f>
        <v>00049758</v>
      </c>
    </row>
    <row r="350" spans="1:11" ht="57" x14ac:dyDescent="0.25">
      <c r="A350" s="88">
        <v>108</v>
      </c>
      <c r="B350" s="89" t="s">
        <v>195</v>
      </c>
      <c r="C350" s="25" t="s">
        <v>2</v>
      </c>
      <c r="D350" s="89"/>
      <c r="E350" s="94">
        <v>146761</v>
      </c>
      <c r="F350" s="88">
        <v>7</v>
      </c>
      <c r="G350" s="89" t="s">
        <v>4856</v>
      </c>
      <c r="H350" s="89" t="s">
        <v>4857</v>
      </c>
      <c r="I350" s="89" t="s">
        <v>4858</v>
      </c>
      <c r="J350" s="89" t="s">
        <v>4859</v>
      </c>
      <c r="K350" s="89" t="str">
        <f>"00044623"</f>
        <v>00044623</v>
      </c>
    </row>
    <row r="351" spans="1:11" ht="42.75" x14ac:dyDescent="0.25">
      <c r="A351" s="88">
        <v>108</v>
      </c>
      <c r="B351" s="89" t="s">
        <v>195</v>
      </c>
      <c r="C351" s="25" t="s">
        <v>2</v>
      </c>
      <c r="D351" s="89"/>
      <c r="E351" s="94">
        <v>29000</v>
      </c>
      <c r="F351" s="88">
        <v>7</v>
      </c>
      <c r="G351" s="89" t="s">
        <v>4860</v>
      </c>
      <c r="H351" s="89" t="s">
        <v>4861</v>
      </c>
      <c r="I351" s="89" t="s">
        <v>4721</v>
      </c>
      <c r="J351" s="89" t="s">
        <v>4282</v>
      </c>
      <c r="K351" s="89" t="str">
        <f>"00050674"</f>
        <v>00050674</v>
      </c>
    </row>
    <row r="352" spans="1:11" ht="71.25" x14ac:dyDescent="0.25">
      <c r="A352" s="88">
        <v>108</v>
      </c>
      <c r="B352" s="89" t="s">
        <v>4862</v>
      </c>
      <c r="C352" s="25" t="s">
        <v>2</v>
      </c>
      <c r="D352" s="89"/>
      <c r="E352" s="94">
        <v>27600</v>
      </c>
      <c r="F352" s="88">
        <v>7</v>
      </c>
      <c r="G352" s="89" t="s">
        <v>4863</v>
      </c>
      <c r="H352" s="89" t="s">
        <v>3316</v>
      </c>
      <c r="I352" s="89" t="s">
        <v>4864</v>
      </c>
      <c r="J352" s="89" t="s">
        <v>4865</v>
      </c>
      <c r="K352" s="89" t="str">
        <f>"00052120"</f>
        <v>00052120</v>
      </c>
    </row>
    <row r="353" spans="1:11" ht="57" x14ac:dyDescent="0.25">
      <c r="A353" s="88">
        <v>108</v>
      </c>
      <c r="B353" s="89" t="s">
        <v>195</v>
      </c>
      <c r="C353" s="25" t="s">
        <v>2</v>
      </c>
      <c r="D353" s="89"/>
      <c r="E353" s="94">
        <v>68000</v>
      </c>
      <c r="F353" s="88">
        <v>7</v>
      </c>
      <c r="G353" s="89" t="s">
        <v>4866</v>
      </c>
      <c r="H353" s="89" t="s">
        <v>4867</v>
      </c>
      <c r="I353" s="89" t="s">
        <v>4868</v>
      </c>
      <c r="J353" s="89" t="s">
        <v>4869</v>
      </c>
      <c r="K353" s="89" t="str">
        <f>"00049500"</f>
        <v>00049500</v>
      </c>
    </row>
    <row r="354" spans="1:11" ht="42.75" x14ac:dyDescent="0.25">
      <c r="A354" s="88">
        <v>108</v>
      </c>
      <c r="B354" s="89" t="s">
        <v>195</v>
      </c>
      <c r="C354" s="25" t="s">
        <v>2</v>
      </c>
      <c r="D354" s="89"/>
      <c r="E354" s="94">
        <v>51000</v>
      </c>
      <c r="F354" s="88">
        <v>7</v>
      </c>
      <c r="G354" s="89" t="s">
        <v>4870</v>
      </c>
      <c r="H354" s="89" t="s">
        <v>4871</v>
      </c>
      <c r="I354" s="89" t="s">
        <v>4721</v>
      </c>
      <c r="J354" s="89" t="s">
        <v>4282</v>
      </c>
      <c r="K354" s="89" t="str">
        <f>"00049019"</f>
        <v>00049019</v>
      </c>
    </row>
    <row r="355" spans="1:11" ht="66.75" customHeight="1" x14ac:dyDescent="0.25">
      <c r="A355" s="88">
        <v>108</v>
      </c>
      <c r="B355" s="89" t="s">
        <v>195</v>
      </c>
      <c r="C355" s="25" t="s">
        <v>2</v>
      </c>
      <c r="D355" s="89"/>
      <c r="E355" s="94">
        <v>26000</v>
      </c>
      <c r="F355" s="88">
        <v>7</v>
      </c>
      <c r="G355" s="89" t="s">
        <v>4872</v>
      </c>
      <c r="H355" s="89" t="s">
        <v>4873</v>
      </c>
      <c r="I355" s="89" t="s">
        <v>4727</v>
      </c>
      <c r="J355" s="89" t="s">
        <v>4728</v>
      </c>
      <c r="K355" s="89" t="str">
        <f>"00050693"</f>
        <v>00050693</v>
      </c>
    </row>
    <row r="356" spans="1:11" ht="71.25" customHeight="1" x14ac:dyDescent="0.25">
      <c r="A356" s="88">
        <v>108</v>
      </c>
      <c r="B356" s="89" t="s">
        <v>4874</v>
      </c>
      <c r="C356" s="25" t="s">
        <v>2</v>
      </c>
      <c r="D356" s="89"/>
      <c r="E356" s="94">
        <v>25000</v>
      </c>
      <c r="F356" s="88">
        <v>7</v>
      </c>
      <c r="G356" s="89" t="s">
        <v>4875</v>
      </c>
      <c r="H356" s="89" t="s">
        <v>4876</v>
      </c>
      <c r="I356" s="89" t="s">
        <v>4727</v>
      </c>
      <c r="J356" s="89" t="s">
        <v>4728</v>
      </c>
      <c r="K356" s="89" t="str">
        <f>"00051592"</f>
        <v>00051592</v>
      </c>
    </row>
    <row r="357" spans="1:11" ht="42.75" x14ac:dyDescent="0.25">
      <c r="A357" s="88">
        <v>108</v>
      </c>
      <c r="B357" s="89" t="s">
        <v>195</v>
      </c>
      <c r="C357" s="25" t="s">
        <v>2</v>
      </c>
      <c r="D357" s="89"/>
      <c r="E357" s="94">
        <v>26149</v>
      </c>
      <c r="F357" s="88">
        <v>7</v>
      </c>
      <c r="G357" s="89" t="s">
        <v>4877</v>
      </c>
      <c r="H357" s="89" t="s">
        <v>4878</v>
      </c>
      <c r="I357" s="89" t="s">
        <v>4727</v>
      </c>
      <c r="J357" s="89" t="s">
        <v>4728</v>
      </c>
      <c r="K357" s="89" t="str">
        <f>"00051792"</f>
        <v>00051792</v>
      </c>
    </row>
    <row r="358" spans="1:11" ht="57" x14ac:dyDescent="0.25">
      <c r="A358" s="88">
        <v>108</v>
      </c>
      <c r="B358" s="89" t="s">
        <v>4833</v>
      </c>
      <c r="C358" s="25" t="s">
        <v>2</v>
      </c>
      <c r="D358" s="89"/>
      <c r="E358" s="94">
        <v>44119</v>
      </c>
      <c r="F358" s="88">
        <v>7</v>
      </c>
      <c r="G358" s="89" t="s">
        <v>4879</v>
      </c>
      <c r="H358" s="89" t="s">
        <v>4880</v>
      </c>
      <c r="I358" s="89" t="s">
        <v>4787</v>
      </c>
      <c r="J358" s="89" t="s">
        <v>4746</v>
      </c>
      <c r="K358" s="89" t="str">
        <f>"00046350"</f>
        <v>00046350</v>
      </c>
    </row>
    <row r="359" spans="1:11" ht="99.75" x14ac:dyDescent="0.25">
      <c r="A359" s="88">
        <v>108</v>
      </c>
      <c r="B359" s="89" t="s">
        <v>1776</v>
      </c>
      <c r="C359" s="25" t="s">
        <v>2</v>
      </c>
      <c r="D359" s="89"/>
      <c r="E359" s="94">
        <v>40842</v>
      </c>
      <c r="F359" s="88">
        <v>7</v>
      </c>
      <c r="G359" s="89" t="s">
        <v>4881</v>
      </c>
      <c r="H359" s="89" t="s">
        <v>4882</v>
      </c>
      <c r="I359" s="89" t="s">
        <v>4727</v>
      </c>
      <c r="J359" s="89" t="s">
        <v>4728</v>
      </c>
      <c r="K359" s="89" t="str">
        <f>"00051869"</f>
        <v>00051869</v>
      </c>
    </row>
    <row r="360" spans="1:11" ht="42.75" x14ac:dyDescent="0.25">
      <c r="A360" s="88">
        <v>108</v>
      </c>
      <c r="B360" s="89" t="s">
        <v>4874</v>
      </c>
      <c r="C360" s="25" t="s">
        <v>2</v>
      </c>
      <c r="D360" s="89"/>
      <c r="E360" s="94">
        <v>13465</v>
      </c>
      <c r="F360" s="88">
        <v>7</v>
      </c>
      <c r="G360" s="89" t="s">
        <v>4883</v>
      </c>
      <c r="H360" s="89" t="s">
        <v>4884</v>
      </c>
      <c r="I360" s="89" t="s">
        <v>4831</v>
      </c>
      <c r="J360" s="89" t="s">
        <v>4885</v>
      </c>
      <c r="K360" s="89" t="str">
        <f>"00052585"</f>
        <v>00052585</v>
      </c>
    </row>
    <row r="361" spans="1:11" ht="99.75" x14ac:dyDescent="0.25">
      <c r="A361" s="88">
        <v>108</v>
      </c>
      <c r="B361" s="89" t="s">
        <v>1776</v>
      </c>
      <c r="C361" s="25" t="s">
        <v>2</v>
      </c>
      <c r="D361" s="89"/>
      <c r="E361" s="94">
        <v>42542</v>
      </c>
      <c r="F361" s="88">
        <v>7</v>
      </c>
      <c r="G361" s="89" t="s">
        <v>4881</v>
      </c>
      <c r="H361" s="89" t="s">
        <v>4882</v>
      </c>
      <c r="I361" s="89" t="s">
        <v>4727</v>
      </c>
      <c r="J361" s="89" t="s">
        <v>4728</v>
      </c>
      <c r="K361" s="89" t="str">
        <f>"00051883"</f>
        <v>00051883</v>
      </c>
    </row>
    <row r="362" spans="1:11" ht="53.25" customHeight="1" x14ac:dyDescent="0.25">
      <c r="A362" s="88">
        <v>108</v>
      </c>
      <c r="B362" s="89" t="s">
        <v>4886</v>
      </c>
      <c r="C362" s="25" t="s">
        <v>2</v>
      </c>
      <c r="D362" s="89"/>
      <c r="E362" s="94">
        <v>17596</v>
      </c>
      <c r="F362" s="88">
        <v>7</v>
      </c>
      <c r="G362" s="89" t="s">
        <v>4886</v>
      </c>
      <c r="H362" s="89" t="s">
        <v>2607</v>
      </c>
      <c r="I362" s="89" t="s">
        <v>71</v>
      </c>
      <c r="J362" s="89" t="s">
        <v>76</v>
      </c>
      <c r="K362" s="89" t="str">
        <f>"00050140"</f>
        <v>00050140</v>
      </c>
    </row>
    <row r="363" spans="1:11" ht="42.75" x14ac:dyDescent="0.25">
      <c r="A363" s="88">
        <v>108</v>
      </c>
      <c r="B363" s="89" t="s">
        <v>4883</v>
      </c>
      <c r="C363" s="25" t="s">
        <v>2</v>
      </c>
      <c r="D363" s="89"/>
      <c r="E363" s="94">
        <v>18900</v>
      </c>
      <c r="F363" s="88">
        <v>7</v>
      </c>
      <c r="G363" s="89" t="s">
        <v>4883</v>
      </c>
      <c r="H363" s="89" t="s">
        <v>4884</v>
      </c>
      <c r="I363" s="89" t="s">
        <v>71</v>
      </c>
      <c r="J363" s="89" t="s">
        <v>4885</v>
      </c>
      <c r="K363" s="89" t="str">
        <f>"00052585"</f>
        <v>00052585</v>
      </c>
    </row>
    <row r="364" spans="1:11" ht="57" x14ac:dyDescent="0.25">
      <c r="A364" s="88">
        <v>108</v>
      </c>
      <c r="B364" s="89" t="s">
        <v>3580</v>
      </c>
      <c r="C364" s="25" t="s">
        <v>0</v>
      </c>
      <c r="D364" s="89"/>
      <c r="E364" s="94">
        <v>123656</v>
      </c>
      <c r="F364" s="88">
        <v>7</v>
      </c>
      <c r="G364" s="89" t="s">
        <v>3581</v>
      </c>
      <c r="H364" s="89" t="s">
        <v>3582</v>
      </c>
      <c r="I364" s="89" t="s">
        <v>3583</v>
      </c>
      <c r="J364" s="89" t="s">
        <v>3583</v>
      </c>
      <c r="K364" s="89" t="str">
        <f>"00050708"</f>
        <v>00050708</v>
      </c>
    </row>
    <row r="365" spans="1:11" ht="57" x14ac:dyDescent="0.25">
      <c r="A365" s="88">
        <v>108</v>
      </c>
      <c r="B365" s="89" t="s">
        <v>3580</v>
      </c>
      <c r="C365" s="25" t="s">
        <v>0</v>
      </c>
      <c r="D365" s="89"/>
      <c r="E365" s="94">
        <v>114068</v>
      </c>
      <c r="F365" s="88">
        <v>7</v>
      </c>
      <c r="G365" s="89" t="s">
        <v>3581</v>
      </c>
      <c r="H365" s="89" t="s">
        <v>3582</v>
      </c>
      <c r="I365" s="89" t="s">
        <v>3583</v>
      </c>
      <c r="J365" s="89" t="s">
        <v>3583</v>
      </c>
      <c r="K365" s="89" t="str">
        <f>"00050705"</f>
        <v>00050705</v>
      </c>
    </row>
    <row r="366" spans="1:11" ht="15.75" customHeight="1" x14ac:dyDescent="0.25">
      <c r="A366" s="159" t="s">
        <v>6210</v>
      </c>
      <c r="B366" s="159"/>
      <c r="C366" s="159"/>
      <c r="D366" s="159"/>
      <c r="E366" s="70">
        <f>SUM(E343:E365)</f>
        <v>1043886</v>
      </c>
      <c r="F366" s="165"/>
      <c r="G366" s="165"/>
      <c r="H366" s="165"/>
      <c r="I366" s="165"/>
      <c r="J366" s="165"/>
      <c r="K366" s="165"/>
    </row>
    <row r="367" spans="1:11" ht="20.100000000000001" customHeight="1" x14ac:dyDescent="0.25">
      <c r="A367" s="147" t="s">
        <v>4987</v>
      </c>
      <c r="B367" s="147"/>
      <c r="C367" s="147"/>
      <c r="D367" s="147"/>
      <c r="E367" s="147"/>
      <c r="F367" s="147"/>
      <c r="G367" s="147"/>
      <c r="H367" s="147"/>
      <c r="I367" s="147"/>
      <c r="J367" s="147"/>
      <c r="K367" s="147"/>
    </row>
    <row r="368" spans="1:11" ht="28.5" x14ac:dyDescent="0.25">
      <c r="A368" s="88">
        <v>108</v>
      </c>
      <c r="B368" s="89" t="s">
        <v>12</v>
      </c>
      <c r="C368" s="25" t="s">
        <v>2</v>
      </c>
      <c r="D368" s="94">
        <v>5539000</v>
      </c>
      <c r="E368" s="89"/>
      <c r="F368" s="88">
        <v>7</v>
      </c>
      <c r="G368" s="89" t="s">
        <v>52</v>
      </c>
      <c r="H368" s="89"/>
      <c r="I368" s="89" t="s">
        <v>4696</v>
      </c>
      <c r="J368" s="89"/>
      <c r="K368" s="89" t="str">
        <f>"　"</f>
        <v>　</v>
      </c>
    </row>
    <row r="369" spans="1:11" ht="42.75" x14ac:dyDescent="0.25">
      <c r="A369" s="88">
        <v>108</v>
      </c>
      <c r="B369" s="89" t="s">
        <v>597</v>
      </c>
      <c r="C369" s="25" t="s">
        <v>2</v>
      </c>
      <c r="D369" s="89"/>
      <c r="E369" s="94">
        <v>36633</v>
      </c>
      <c r="F369" s="88">
        <v>7</v>
      </c>
      <c r="G369" s="89" t="s">
        <v>4988</v>
      </c>
      <c r="H369" s="89" t="s">
        <v>4989</v>
      </c>
      <c r="I369" s="89" t="s">
        <v>4722</v>
      </c>
      <c r="J369" s="89" t="s">
        <v>76</v>
      </c>
      <c r="K369" s="89" t="str">
        <f>"00048655"</f>
        <v>00048655</v>
      </c>
    </row>
    <row r="370" spans="1:11" ht="71.25" x14ac:dyDescent="0.25">
      <c r="A370" s="88">
        <v>108</v>
      </c>
      <c r="B370" s="89" t="s">
        <v>2724</v>
      </c>
      <c r="C370" s="25" t="s">
        <v>2</v>
      </c>
      <c r="D370" s="89"/>
      <c r="E370" s="94">
        <v>39680</v>
      </c>
      <c r="F370" s="88">
        <v>7</v>
      </c>
      <c r="G370" s="89" t="s">
        <v>4990</v>
      </c>
      <c r="H370" s="89" t="s">
        <v>1710</v>
      </c>
      <c r="I370" s="89" t="s">
        <v>4991</v>
      </c>
      <c r="J370" s="89" t="s">
        <v>4992</v>
      </c>
      <c r="K370" s="89" t="str">
        <f>"00046725"</f>
        <v>00046725</v>
      </c>
    </row>
    <row r="371" spans="1:11" ht="71.25" x14ac:dyDescent="0.25">
      <c r="A371" s="88">
        <v>108</v>
      </c>
      <c r="B371" s="89" t="s">
        <v>2724</v>
      </c>
      <c r="C371" s="25" t="s">
        <v>2</v>
      </c>
      <c r="D371" s="89"/>
      <c r="E371" s="94">
        <v>11157</v>
      </c>
      <c r="F371" s="88">
        <v>7</v>
      </c>
      <c r="G371" s="89" t="s">
        <v>4993</v>
      </c>
      <c r="H371" s="89" t="s">
        <v>4994</v>
      </c>
      <c r="I371" s="89" t="s">
        <v>4891</v>
      </c>
      <c r="J371" s="89" t="s">
        <v>4892</v>
      </c>
      <c r="K371" s="89" t="str">
        <f>"00048958"</f>
        <v>00048958</v>
      </c>
    </row>
    <row r="372" spans="1:11" ht="42.75" x14ac:dyDescent="0.25">
      <c r="A372" s="88">
        <v>108</v>
      </c>
      <c r="B372" s="89" t="s">
        <v>4995</v>
      </c>
      <c r="C372" s="25" t="s">
        <v>2</v>
      </c>
      <c r="D372" s="89"/>
      <c r="E372" s="94">
        <v>14619</v>
      </c>
      <c r="F372" s="88">
        <v>7</v>
      </c>
      <c r="G372" s="89" t="s">
        <v>4996</v>
      </c>
      <c r="H372" s="89" t="s">
        <v>4130</v>
      </c>
      <c r="I372" s="89" t="s">
        <v>4997</v>
      </c>
      <c r="J372" s="89" t="s">
        <v>4998</v>
      </c>
      <c r="K372" s="89" t="str">
        <f>"00051912"</f>
        <v>00051912</v>
      </c>
    </row>
    <row r="373" spans="1:11" ht="42.75" x14ac:dyDescent="0.25">
      <c r="A373" s="88">
        <v>108</v>
      </c>
      <c r="B373" s="89" t="s">
        <v>2732</v>
      </c>
      <c r="C373" s="25" t="s">
        <v>2</v>
      </c>
      <c r="D373" s="89"/>
      <c r="E373" s="94">
        <v>14641</v>
      </c>
      <c r="F373" s="88">
        <v>7</v>
      </c>
      <c r="G373" s="89" t="s">
        <v>4999</v>
      </c>
      <c r="H373" s="89" t="s">
        <v>5000</v>
      </c>
      <c r="I373" s="89" t="s">
        <v>4727</v>
      </c>
      <c r="J373" s="89" t="s">
        <v>4728</v>
      </c>
      <c r="K373" s="89" t="str">
        <f>"00047790"</f>
        <v>00047790</v>
      </c>
    </row>
    <row r="374" spans="1:11" ht="71.25" x14ac:dyDescent="0.25">
      <c r="A374" s="88">
        <v>108</v>
      </c>
      <c r="B374" s="89" t="s">
        <v>5001</v>
      </c>
      <c r="C374" s="25" t="s">
        <v>2</v>
      </c>
      <c r="D374" s="89"/>
      <c r="E374" s="94">
        <v>51918</v>
      </c>
      <c r="F374" s="88">
        <v>7</v>
      </c>
      <c r="G374" s="89" t="s">
        <v>5002</v>
      </c>
      <c r="H374" s="89" t="s">
        <v>3361</v>
      </c>
      <c r="I374" s="89" t="s">
        <v>5003</v>
      </c>
      <c r="J374" s="89" t="s">
        <v>5004</v>
      </c>
      <c r="K374" s="89" t="str">
        <f>"00050544"</f>
        <v>00050544</v>
      </c>
    </row>
    <row r="375" spans="1:11" ht="15.75" customHeight="1" x14ac:dyDescent="0.25">
      <c r="A375" s="159" t="s">
        <v>6211</v>
      </c>
      <c r="B375" s="159"/>
      <c r="C375" s="159"/>
      <c r="D375" s="159"/>
      <c r="E375" s="128">
        <f>SUM(E368:E374)</f>
        <v>168648</v>
      </c>
      <c r="F375" s="145"/>
      <c r="G375" s="145"/>
      <c r="H375" s="145"/>
      <c r="I375" s="145"/>
      <c r="J375" s="145"/>
      <c r="K375" s="145"/>
    </row>
    <row r="376" spans="1:11" x14ac:dyDescent="0.25">
      <c r="A376" s="147" t="s">
        <v>5037</v>
      </c>
      <c r="B376" s="147"/>
      <c r="C376" s="147"/>
      <c r="D376" s="147"/>
      <c r="E376" s="147"/>
      <c r="F376" s="147"/>
      <c r="G376" s="147"/>
      <c r="H376" s="147"/>
      <c r="I376" s="147"/>
      <c r="J376" s="147"/>
      <c r="K376" s="147"/>
    </row>
    <row r="377" spans="1:11" ht="28.5" x14ac:dyDescent="0.25">
      <c r="A377" s="88">
        <v>108</v>
      </c>
      <c r="B377" s="89" t="s">
        <v>12</v>
      </c>
      <c r="C377" s="25" t="s">
        <v>2</v>
      </c>
      <c r="D377" s="94">
        <v>5539000</v>
      </c>
      <c r="E377" s="89"/>
      <c r="F377" s="88">
        <v>7</v>
      </c>
      <c r="G377" s="89" t="s">
        <v>52</v>
      </c>
      <c r="H377" s="89"/>
      <c r="I377" s="89" t="s">
        <v>4696</v>
      </c>
      <c r="J377" s="89"/>
      <c r="K377" s="89" t="str">
        <f>"　"</f>
        <v>　</v>
      </c>
    </row>
    <row r="378" spans="1:11" ht="57" x14ac:dyDescent="0.25">
      <c r="A378" s="88">
        <v>108</v>
      </c>
      <c r="B378" s="89" t="s">
        <v>5038</v>
      </c>
      <c r="C378" s="25" t="s">
        <v>2</v>
      </c>
      <c r="D378" s="89"/>
      <c r="E378" s="94">
        <v>51568</v>
      </c>
      <c r="F378" s="88">
        <v>7</v>
      </c>
      <c r="G378" s="89" t="s">
        <v>5039</v>
      </c>
      <c r="H378" s="89" t="s">
        <v>297</v>
      </c>
      <c r="I378" s="89" t="s">
        <v>4727</v>
      </c>
      <c r="J378" s="89" t="s">
        <v>4728</v>
      </c>
      <c r="K378" s="89" t="str">
        <f>"00046783"</f>
        <v>00046783</v>
      </c>
    </row>
    <row r="379" spans="1:11" ht="57" x14ac:dyDescent="0.25">
      <c r="A379" s="88">
        <v>108</v>
      </c>
      <c r="B379" s="89" t="s">
        <v>5589</v>
      </c>
      <c r="C379" s="25" t="s">
        <v>2</v>
      </c>
      <c r="D379" s="89"/>
      <c r="E379" s="94">
        <v>29207</v>
      </c>
      <c r="F379" s="88">
        <v>7</v>
      </c>
      <c r="G379" s="89" t="s">
        <v>5040</v>
      </c>
      <c r="H379" s="89" t="s">
        <v>239</v>
      </c>
      <c r="I379" s="89" t="s">
        <v>4822</v>
      </c>
      <c r="J379" s="89" t="s">
        <v>4823</v>
      </c>
      <c r="K379" s="89" t="str">
        <f>"00046877"</f>
        <v>00046877</v>
      </c>
    </row>
    <row r="380" spans="1:11" ht="42.75" x14ac:dyDescent="0.25">
      <c r="A380" s="88">
        <v>108</v>
      </c>
      <c r="B380" s="89" t="s">
        <v>1090</v>
      </c>
      <c r="C380" s="25" t="s">
        <v>2</v>
      </c>
      <c r="D380" s="89"/>
      <c r="E380" s="94">
        <v>132312</v>
      </c>
      <c r="F380" s="88">
        <v>7</v>
      </c>
      <c r="G380" s="89" t="s">
        <v>5041</v>
      </c>
      <c r="H380" s="89" t="s">
        <v>5042</v>
      </c>
      <c r="I380" s="89" t="s">
        <v>4706</v>
      </c>
      <c r="J380" s="89" t="s">
        <v>4174</v>
      </c>
      <c r="K380" s="89" t="str">
        <f>"00048014"</f>
        <v>00048014</v>
      </c>
    </row>
    <row r="381" spans="1:11" ht="57" x14ac:dyDescent="0.25">
      <c r="A381" s="88">
        <v>108</v>
      </c>
      <c r="B381" s="89" t="s">
        <v>5038</v>
      </c>
      <c r="C381" s="25" t="s">
        <v>2</v>
      </c>
      <c r="D381" s="89"/>
      <c r="E381" s="94">
        <v>100602</v>
      </c>
      <c r="F381" s="88">
        <v>7</v>
      </c>
      <c r="G381" s="89" t="s">
        <v>5043</v>
      </c>
      <c r="H381" s="89" t="s">
        <v>5044</v>
      </c>
      <c r="I381" s="89" t="s">
        <v>4727</v>
      </c>
      <c r="J381" s="89" t="s">
        <v>4728</v>
      </c>
      <c r="K381" s="89" t="str">
        <f>"00049159"</f>
        <v>00049159</v>
      </c>
    </row>
    <row r="382" spans="1:11" ht="57" x14ac:dyDescent="0.25">
      <c r="A382" s="88">
        <v>108</v>
      </c>
      <c r="B382" s="89" t="s">
        <v>2152</v>
      </c>
      <c r="C382" s="25" t="s">
        <v>2</v>
      </c>
      <c r="D382" s="89"/>
      <c r="E382" s="94">
        <v>38392</v>
      </c>
      <c r="F382" s="88">
        <v>7</v>
      </c>
      <c r="G382" s="89" t="s">
        <v>5045</v>
      </c>
      <c r="H382" s="89" t="s">
        <v>5046</v>
      </c>
      <c r="I382" s="89" t="s">
        <v>4787</v>
      </c>
      <c r="J382" s="89" t="s">
        <v>4746</v>
      </c>
      <c r="K382" s="89" t="str">
        <f>"00046719"</f>
        <v>00046719</v>
      </c>
    </row>
    <row r="383" spans="1:11" ht="57" x14ac:dyDescent="0.25">
      <c r="A383" s="88">
        <v>108</v>
      </c>
      <c r="B383" s="89" t="s">
        <v>2152</v>
      </c>
      <c r="C383" s="25" t="s">
        <v>2</v>
      </c>
      <c r="D383" s="89"/>
      <c r="E383" s="94">
        <v>36233</v>
      </c>
      <c r="F383" s="88">
        <v>7</v>
      </c>
      <c r="G383" s="89" t="s">
        <v>5047</v>
      </c>
      <c r="H383" s="89" t="s">
        <v>4905</v>
      </c>
      <c r="I383" s="89" t="s">
        <v>5048</v>
      </c>
      <c r="J383" s="89" t="s">
        <v>5049</v>
      </c>
      <c r="K383" s="89" t="str">
        <f>"00049837"</f>
        <v>00049837</v>
      </c>
    </row>
    <row r="384" spans="1:11" ht="71.25" x14ac:dyDescent="0.25">
      <c r="A384" s="88">
        <v>108</v>
      </c>
      <c r="B384" s="89" t="s">
        <v>2142</v>
      </c>
      <c r="C384" s="25" t="s">
        <v>2</v>
      </c>
      <c r="D384" s="89"/>
      <c r="E384" s="94">
        <v>53483</v>
      </c>
      <c r="F384" s="88">
        <v>7</v>
      </c>
      <c r="G384" s="89" t="s">
        <v>5050</v>
      </c>
      <c r="H384" s="89" t="s">
        <v>3808</v>
      </c>
      <c r="I384" s="89" t="s">
        <v>4787</v>
      </c>
      <c r="J384" s="89" t="s">
        <v>4746</v>
      </c>
      <c r="K384" s="89" t="str">
        <f>"00052592"</f>
        <v>00052592</v>
      </c>
    </row>
    <row r="385" spans="1:11" ht="71.25" x14ac:dyDescent="0.25">
      <c r="A385" s="88">
        <v>108</v>
      </c>
      <c r="B385" s="89" t="s">
        <v>2152</v>
      </c>
      <c r="C385" s="25" t="s">
        <v>2</v>
      </c>
      <c r="D385" s="89"/>
      <c r="E385" s="94">
        <v>69459</v>
      </c>
      <c r="F385" s="88">
        <v>7</v>
      </c>
      <c r="G385" s="89" t="s">
        <v>5051</v>
      </c>
      <c r="H385" s="89" t="s">
        <v>5052</v>
      </c>
      <c r="I385" s="89" t="s">
        <v>4727</v>
      </c>
      <c r="J385" s="89" t="s">
        <v>4728</v>
      </c>
      <c r="K385" s="89" t="str">
        <f>"00050946"</f>
        <v>00050946</v>
      </c>
    </row>
    <row r="386" spans="1:11" ht="85.5" x14ac:dyDescent="0.25">
      <c r="A386" s="88">
        <v>108</v>
      </c>
      <c r="B386" s="89" t="s">
        <v>5013</v>
      </c>
      <c r="C386" s="25" t="s">
        <v>2</v>
      </c>
      <c r="D386" s="89"/>
      <c r="E386" s="94">
        <v>59483</v>
      </c>
      <c r="F386" s="88">
        <v>7</v>
      </c>
      <c r="G386" s="89" t="s">
        <v>5053</v>
      </c>
      <c r="H386" s="89" t="s">
        <v>4005</v>
      </c>
      <c r="I386" s="89" t="s">
        <v>5027</v>
      </c>
      <c r="J386" s="89" t="s">
        <v>5028</v>
      </c>
      <c r="K386" s="89" t="str">
        <f>"00051112"</f>
        <v>00051112</v>
      </c>
    </row>
    <row r="387" spans="1:11" ht="57" x14ac:dyDescent="0.25">
      <c r="A387" s="88">
        <v>108</v>
      </c>
      <c r="B387" s="89" t="s">
        <v>5054</v>
      </c>
      <c r="C387" s="25" t="s">
        <v>2</v>
      </c>
      <c r="D387" s="89"/>
      <c r="E387" s="94">
        <v>60000</v>
      </c>
      <c r="F387" s="88">
        <v>7</v>
      </c>
      <c r="G387" s="89" t="s">
        <v>5055</v>
      </c>
      <c r="H387" s="89" t="s">
        <v>5056</v>
      </c>
      <c r="I387" s="89" t="s">
        <v>5057</v>
      </c>
      <c r="J387" s="89" t="s">
        <v>5058</v>
      </c>
      <c r="K387" s="89" t="str">
        <f>"00050955"</f>
        <v>00050955</v>
      </c>
    </row>
    <row r="388" spans="1:11" ht="57" x14ac:dyDescent="0.25">
      <c r="A388" s="88">
        <v>108</v>
      </c>
      <c r="B388" s="89" t="s">
        <v>5022</v>
      </c>
      <c r="C388" s="25" t="s">
        <v>2</v>
      </c>
      <c r="D388" s="89"/>
      <c r="E388" s="94">
        <v>20387</v>
      </c>
      <c r="F388" s="88">
        <v>7</v>
      </c>
      <c r="G388" s="89" t="s">
        <v>5059</v>
      </c>
      <c r="H388" s="89" t="s">
        <v>5024</v>
      </c>
      <c r="I388" s="89" t="s">
        <v>4727</v>
      </c>
      <c r="J388" s="89" t="s">
        <v>4728</v>
      </c>
      <c r="K388" s="89" t="str">
        <f>"00052211"</f>
        <v>00052211</v>
      </c>
    </row>
    <row r="389" spans="1:11" ht="42.75" x14ac:dyDescent="0.25">
      <c r="A389" s="88">
        <v>108</v>
      </c>
      <c r="B389" s="89" t="s">
        <v>5013</v>
      </c>
      <c r="C389" s="25" t="s">
        <v>2</v>
      </c>
      <c r="D389" s="89"/>
      <c r="E389" s="94">
        <v>10009</v>
      </c>
      <c r="F389" s="88">
        <v>7</v>
      </c>
      <c r="G389" s="89" t="s">
        <v>5060</v>
      </c>
      <c r="H389" s="89" t="s">
        <v>5061</v>
      </c>
      <c r="I389" s="89" t="s">
        <v>4831</v>
      </c>
      <c r="J389" s="89" t="s">
        <v>5062</v>
      </c>
      <c r="K389" s="89" t="str">
        <f>"00052099"</f>
        <v>00052099</v>
      </c>
    </row>
    <row r="390" spans="1:11" ht="85.5" x14ac:dyDescent="0.25">
      <c r="A390" s="88">
        <v>108</v>
      </c>
      <c r="B390" s="89" t="s">
        <v>5590</v>
      </c>
      <c r="C390" s="25" t="s">
        <v>2</v>
      </c>
      <c r="D390" s="89"/>
      <c r="E390" s="94">
        <v>34762</v>
      </c>
      <c r="F390" s="88">
        <v>7</v>
      </c>
      <c r="G390" s="89" t="s">
        <v>5063</v>
      </c>
      <c r="H390" s="89" t="s">
        <v>5064</v>
      </c>
      <c r="I390" s="89" t="s">
        <v>5591</v>
      </c>
      <c r="J390" s="89" t="s">
        <v>5065</v>
      </c>
      <c r="K390" s="89" t="s">
        <v>5066</v>
      </c>
    </row>
    <row r="391" spans="1:11" ht="85.5" x14ac:dyDescent="0.25">
      <c r="A391" s="88">
        <v>108</v>
      </c>
      <c r="B391" s="89" t="s">
        <v>5067</v>
      </c>
      <c r="C391" s="25" t="s">
        <v>2</v>
      </c>
      <c r="D391" s="89"/>
      <c r="E391" s="94">
        <v>37730</v>
      </c>
      <c r="F391" s="88">
        <v>7</v>
      </c>
      <c r="G391" s="89" t="s">
        <v>5068</v>
      </c>
      <c r="H391" s="89" t="s">
        <v>2335</v>
      </c>
      <c r="I391" s="89" t="s">
        <v>71</v>
      </c>
      <c r="J391" s="89" t="s">
        <v>5036</v>
      </c>
      <c r="K391" s="89" t="str">
        <f>"00052047"</f>
        <v>00052047</v>
      </c>
    </row>
    <row r="392" spans="1:11" ht="15.75" customHeight="1" x14ac:dyDescent="0.25">
      <c r="A392" s="159" t="s">
        <v>6212</v>
      </c>
      <c r="B392" s="159"/>
      <c r="C392" s="159"/>
      <c r="D392" s="159"/>
      <c r="E392" s="94">
        <f>SUM(E377:E391)</f>
        <v>733627</v>
      </c>
      <c r="F392" s="145"/>
      <c r="G392" s="145"/>
      <c r="H392" s="145"/>
      <c r="I392" s="145"/>
      <c r="J392" s="145"/>
      <c r="K392" s="145"/>
    </row>
    <row r="393" spans="1:11" x14ac:dyDescent="0.25">
      <c r="A393" s="152" t="s">
        <v>5096</v>
      </c>
      <c r="B393" s="149"/>
      <c r="C393" s="149"/>
      <c r="D393" s="149"/>
      <c r="E393" s="150"/>
      <c r="F393" s="150"/>
      <c r="G393" s="150"/>
      <c r="H393" s="150"/>
      <c r="I393" s="150"/>
      <c r="J393" s="150"/>
      <c r="K393" s="150"/>
    </row>
    <row r="394" spans="1:11" ht="28.5" x14ac:dyDescent="0.25">
      <c r="A394" s="88">
        <v>108</v>
      </c>
      <c r="B394" s="89" t="s">
        <v>12</v>
      </c>
      <c r="C394" s="25" t="s">
        <v>2</v>
      </c>
      <c r="D394" s="94">
        <v>5539000</v>
      </c>
      <c r="E394" s="89"/>
      <c r="F394" s="88">
        <v>7</v>
      </c>
      <c r="G394" s="89" t="s">
        <v>52</v>
      </c>
      <c r="H394" s="89"/>
      <c r="I394" s="89" t="s">
        <v>4696</v>
      </c>
      <c r="J394" s="89"/>
      <c r="K394" s="89" t="str">
        <f>"　"</f>
        <v>　</v>
      </c>
    </row>
    <row r="395" spans="1:11" ht="142.5" x14ac:dyDescent="0.25">
      <c r="A395" s="88">
        <v>108</v>
      </c>
      <c r="B395" s="89" t="s">
        <v>5080</v>
      </c>
      <c r="C395" s="25" t="s">
        <v>2</v>
      </c>
      <c r="D395" s="89"/>
      <c r="E395" s="94">
        <v>61747</v>
      </c>
      <c r="F395" s="88">
        <v>7</v>
      </c>
      <c r="G395" s="89" t="s">
        <v>5081</v>
      </c>
      <c r="H395" s="89" t="s">
        <v>5082</v>
      </c>
      <c r="I395" s="89" t="s">
        <v>5083</v>
      </c>
      <c r="J395" s="89" t="s">
        <v>5084</v>
      </c>
      <c r="K395" s="89" t="s">
        <v>6213</v>
      </c>
    </row>
    <row r="396" spans="1:11" ht="128.25" x14ac:dyDescent="0.25">
      <c r="A396" s="88">
        <v>108</v>
      </c>
      <c r="B396" s="89" t="s">
        <v>5085</v>
      </c>
      <c r="C396" s="25" t="s">
        <v>2</v>
      </c>
      <c r="D396" s="89"/>
      <c r="E396" s="94">
        <v>90000</v>
      </c>
      <c r="F396" s="88">
        <v>7</v>
      </c>
      <c r="G396" s="89" t="s">
        <v>5086</v>
      </c>
      <c r="H396" s="89" t="s">
        <v>5087</v>
      </c>
      <c r="I396" s="89" t="s">
        <v>4721</v>
      </c>
      <c r="J396" s="89" t="s">
        <v>4282</v>
      </c>
      <c r="K396" s="89" t="str">
        <f>"00048046"</f>
        <v>00048046</v>
      </c>
    </row>
    <row r="397" spans="1:11" ht="85.5" x14ac:dyDescent="0.25">
      <c r="A397" s="88">
        <v>108</v>
      </c>
      <c r="B397" s="89" t="s">
        <v>2174</v>
      </c>
      <c r="C397" s="25" t="s">
        <v>2</v>
      </c>
      <c r="D397" s="89"/>
      <c r="E397" s="94">
        <v>34799</v>
      </c>
      <c r="F397" s="88">
        <v>7</v>
      </c>
      <c r="G397" s="89" t="s">
        <v>5069</v>
      </c>
      <c r="H397" s="89" t="s">
        <v>622</v>
      </c>
      <c r="I397" s="89" t="s">
        <v>4831</v>
      </c>
      <c r="J397" s="89" t="s">
        <v>5070</v>
      </c>
      <c r="K397" s="89" t="s">
        <v>6214</v>
      </c>
    </row>
    <row r="398" spans="1:11" ht="142.5" x14ac:dyDescent="0.25">
      <c r="A398" s="88">
        <v>108</v>
      </c>
      <c r="B398" s="89" t="s">
        <v>5080</v>
      </c>
      <c r="C398" s="25" t="s">
        <v>2</v>
      </c>
      <c r="D398" s="89"/>
      <c r="E398" s="94">
        <v>82823</v>
      </c>
      <c r="F398" s="88">
        <v>7</v>
      </c>
      <c r="G398" s="89" t="s">
        <v>5081</v>
      </c>
      <c r="H398" s="89" t="s">
        <v>5082</v>
      </c>
      <c r="I398" s="89" t="s">
        <v>5083</v>
      </c>
      <c r="J398" s="89" t="s">
        <v>5084</v>
      </c>
      <c r="K398" s="89" t="s">
        <v>6215</v>
      </c>
    </row>
    <row r="399" spans="1:11" ht="57" x14ac:dyDescent="0.25">
      <c r="A399" s="88">
        <v>108</v>
      </c>
      <c r="B399" s="89" t="s">
        <v>2186</v>
      </c>
      <c r="C399" s="25" t="s">
        <v>2</v>
      </c>
      <c r="D399" s="89"/>
      <c r="E399" s="94">
        <v>27425</v>
      </c>
      <c r="F399" s="88">
        <v>7</v>
      </c>
      <c r="G399" s="89" t="s">
        <v>5088</v>
      </c>
      <c r="H399" s="89" t="s">
        <v>5089</v>
      </c>
      <c r="I399" s="89" t="s">
        <v>4891</v>
      </c>
      <c r="J399" s="89" t="s">
        <v>4892</v>
      </c>
      <c r="K399" s="89" t="s">
        <v>6216</v>
      </c>
    </row>
    <row r="400" spans="1:11" ht="114" x14ac:dyDescent="0.25">
      <c r="A400" s="88">
        <v>108</v>
      </c>
      <c r="B400" s="89" t="s">
        <v>5071</v>
      </c>
      <c r="C400" s="25" t="s">
        <v>2</v>
      </c>
      <c r="D400" s="89"/>
      <c r="E400" s="94">
        <v>10707</v>
      </c>
      <c r="F400" s="88">
        <v>7</v>
      </c>
      <c r="G400" s="89" t="s">
        <v>5072</v>
      </c>
      <c r="H400" s="89" t="s">
        <v>2886</v>
      </c>
      <c r="I400" s="89" t="s">
        <v>4727</v>
      </c>
      <c r="J400" s="89" t="s">
        <v>4728</v>
      </c>
      <c r="K400" s="89" t="s">
        <v>6217</v>
      </c>
    </row>
    <row r="401" spans="1:11" ht="42.75" x14ac:dyDescent="0.25">
      <c r="A401" s="88">
        <v>108</v>
      </c>
      <c r="B401" s="89" t="s">
        <v>1098</v>
      </c>
      <c r="C401" s="25" t="s">
        <v>2</v>
      </c>
      <c r="D401" s="89"/>
      <c r="E401" s="94">
        <v>89801</v>
      </c>
      <c r="F401" s="88">
        <v>7</v>
      </c>
      <c r="G401" s="89" t="s">
        <v>5090</v>
      </c>
      <c r="H401" s="89" t="s">
        <v>5091</v>
      </c>
      <c r="I401" s="89" t="s">
        <v>4891</v>
      </c>
      <c r="J401" s="89" t="s">
        <v>4892</v>
      </c>
      <c r="K401" s="89" t="s">
        <v>6749</v>
      </c>
    </row>
    <row r="402" spans="1:11" ht="57" x14ac:dyDescent="0.25">
      <c r="A402" s="88">
        <v>108</v>
      </c>
      <c r="B402" s="89" t="s">
        <v>2186</v>
      </c>
      <c r="C402" s="25" t="s">
        <v>2</v>
      </c>
      <c r="D402" s="89"/>
      <c r="E402" s="94">
        <v>89801</v>
      </c>
      <c r="F402" s="88">
        <v>7</v>
      </c>
      <c r="G402" s="89" t="s">
        <v>5092</v>
      </c>
      <c r="H402" s="89" t="s">
        <v>5091</v>
      </c>
      <c r="I402" s="89" t="s">
        <v>4891</v>
      </c>
      <c r="J402" s="89" t="s">
        <v>4892</v>
      </c>
      <c r="K402" s="89" t="s">
        <v>6218</v>
      </c>
    </row>
    <row r="403" spans="1:11" ht="57" x14ac:dyDescent="0.25">
      <c r="A403" s="88">
        <v>108</v>
      </c>
      <c r="B403" s="89" t="s">
        <v>5093</v>
      </c>
      <c r="C403" s="25" t="s">
        <v>2</v>
      </c>
      <c r="D403" s="89"/>
      <c r="E403" s="94">
        <v>18151</v>
      </c>
      <c r="F403" s="88">
        <v>7</v>
      </c>
      <c r="G403" s="89" t="s">
        <v>5094</v>
      </c>
      <c r="H403" s="89" t="s">
        <v>5095</v>
      </c>
      <c r="I403" s="89" t="s">
        <v>4721</v>
      </c>
      <c r="J403" s="89" t="s">
        <v>4282</v>
      </c>
      <c r="K403" s="89" t="s">
        <v>6219</v>
      </c>
    </row>
    <row r="404" spans="1:11" ht="15.75" customHeight="1" x14ac:dyDescent="0.25">
      <c r="A404" s="159" t="s">
        <v>6220</v>
      </c>
      <c r="B404" s="159"/>
      <c r="C404" s="159"/>
      <c r="D404" s="159"/>
      <c r="E404" s="94">
        <f>SUM(E394:E403)</f>
        <v>505254</v>
      </c>
      <c r="F404" s="145"/>
      <c r="G404" s="145"/>
      <c r="H404" s="145"/>
      <c r="I404" s="145"/>
      <c r="J404" s="145"/>
      <c r="K404" s="145"/>
    </row>
    <row r="405" spans="1:11" ht="15.75" customHeight="1" x14ac:dyDescent="0.25">
      <c r="A405" s="146" t="s">
        <v>6221</v>
      </c>
      <c r="B405" s="146"/>
      <c r="C405" s="146"/>
      <c r="D405" s="146"/>
      <c r="E405" s="146"/>
      <c r="F405" s="146"/>
      <c r="G405" s="146"/>
      <c r="H405" s="146"/>
      <c r="I405" s="146"/>
      <c r="J405" s="146"/>
      <c r="K405" s="146"/>
    </row>
    <row r="406" spans="1:11" ht="28.5" x14ac:dyDescent="0.25">
      <c r="A406" s="88">
        <v>108</v>
      </c>
      <c r="B406" s="89" t="s">
        <v>12</v>
      </c>
      <c r="C406" s="25" t="s">
        <v>2</v>
      </c>
      <c r="D406" s="94">
        <v>5539000</v>
      </c>
      <c r="E406" s="89"/>
      <c r="F406" s="88">
        <v>7</v>
      </c>
      <c r="G406" s="89" t="s">
        <v>52</v>
      </c>
      <c r="H406" s="89"/>
      <c r="I406" s="89" t="s">
        <v>4696</v>
      </c>
      <c r="J406" s="89"/>
      <c r="K406" s="89" t="str">
        <f>"　"</f>
        <v>　</v>
      </c>
    </row>
    <row r="407" spans="1:11" ht="128.25" x14ac:dyDescent="0.25">
      <c r="A407" s="88">
        <v>108</v>
      </c>
      <c r="B407" s="89" t="s">
        <v>5124</v>
      </c>
      <c r="C407" s="25" t="s">
        <v>2</v>
      </c>
      <c r="D407" s="89"/>
      <c r="E407" s="94">
        <v>100000</v>
      </c>
      <c r="F407" s="88">
        <v>7</v>
      </c>
      <c r="G407" s="89" t="s">
        <v>5125</v>
      </c>
      <c r="H407" s="89" t="s">
        <v>5126</v>
      </c>
      <c r="I407" s="89" t="s">
        <v>5127</v>
      </c>
      <c r="J407" s="89" t="s">
        <v>5128</v>
      </c>
      <c r="K407" s="89" t="str">
        <f>"00047609"</f>
        <v>00047609</v>
      </c>
    </row>
    <row r="408" spans="1:11" ht="57" x14ac:dyDescent="0.25">
      <c r="A408" s="88">
        <v>108</v>
      </c>
      <c r="B408" s="89" t="s">
        <v>5121</v>
      </c>
      <c r="C408" s="25" t="s">
        <v>2</v>
      </c>
      <c r="D408" s="89"/>
      <c r="E408" s="94">
        <v>65110</v>
      </c>
      <c r="F408" s="88">
        <v>7</v>
      </c>
      <c r="G408" s="89" t="s">
        <v>5129</v>
      </c>
      <c r="H408" s="89" t="s">
        <v>5130</v>
      </c>
      <c r="I408" s="89" t="s">
        <v>4727</v>
      </c>
      <c r="J408" s="89" t="s">
        <v>4728</v>
      </c>
      <c r="K408" s="89" t="s">
        <v>6750</v>
      </c>
    </row>
    <row r="409" spans="1:11" ht="57" x14ac:dyDescent="0.25">
      <c r="A409" s="88">
        <v>108</v>
      </c>
      <c r="B409" s="89" t="s">
        <v>5098</v>
      </c>
      <c r="C409" s="25" t="s">
        <v>2</v>
      </c>
      <c r="D409" s="89"/>
      <c r="E409" s="94">
        <v>18221</v>
      </c>
      <c r="F409" s="88">
        <v>7</v>
      </c>
      <c r="G409" s="89" t="s">
        <v>5131</v>
      </c>
      <c r="H409" s="89" t="s">
        <v>5107</v>
      </c>
      <c r="I409" s="89" t="s">
        <v>5113</v>
      </c>
      <c r="J409" s="89" t="s">
        <v>5114</v>
      </c>
      <c r="K409" s="89" t="str">
        <f>"00049725"</f>
        <v>00049725</v>
      </c>
    </row>
    <row r="410" spans="1:11" ht="42.75" x14ac:dyDescent="0.25">
      <c r="A410" s="88">
        <v>108</v>
      </c>
      <c r="B410" s="89" t="s">
        <v>5132</v>
      </c>
      <c r="C410" s="25" t="s">
        <v>2</v>
      </c>
      <c r="D410" s="89"/>
      <c r="E410" s="94">
        <v>90000</v>
      </c>
      <c r="F410" s="88">
        <v>7</v>
      </c>
      <c r="G410" s="89" t="s">
        <v>5133</v>
      </c>
      <c r="H410" s="89" t="s">
        <v>5134</v>
      </c>
      <c r="I410" s="89" t="s">
        <v>4706</v>
      </c>
      <c r="J410" s="89" t="s">
        <v>4174</v>
      </c>
      <c r="K410" s="89" t="s">
        <v>6222</v>
      </c>
    </row>
    <row r="411" spans="1:11" ht="42.75" x14ac:dyDescent="0.25">
      <c r="A411" s="88">
        <v>108</v>
      </c>
      <c r="B411" s="89" t="s">
        <v>5135</v>
      </c>
      <c r="C411" s="25" t="s">
        <v>2</v>
      </c>
      <c r="D411" s="89"/>
      <c r="E411" s="94">
        <v>136680</v>
      </c>
      <c r="F411" s="88">
        <v>7</v>
      </c>
      <c r="G411" s="89" t="s">
        <v>5136</v>
      </c>
      <c r="H411" s="89" t="s">
        <v>5137</v>
      </c>
      <c r="I411" s="89" t="s">
        <v>4727</v>
      </c>
      <c r="J411" s="89" t="s">
        <v>4728</v>
      </c>
      <c r="K411" s="89" t="s">
        <v>6223</v>
      </c>
    </row>
    <row r="412" spans="1:11" ht="114" x14ac:dyDescent="0.25">
      <c r="A412" s="88">
        <v>108</v>
      </c>
      <c r="B412" s="89" t="s">
        <v>2217</v>
      </c>
      <c r="C412" s="25" t="s">
        <v>2</v>
      </c>
      <c r="D412" s="89"/>
      <c r="E412" s="94">
        <v>8942</v>
      </c>
      <c r="F412" s="88">
        <v>7</v>
      </c>
      <c r="G412" s="89" t="s">
        <v>5138</v>
      </c>
      <c r="H412" s="89" t="s">
        <v>5139</v>
      </c>
      <c r="I412" s="89" t="s">
        <v>4727</v>
      </c>
      <c r="J412" s="89" t="s">
        <v>4728</v>
      </c>
      <c r="K412" s="89" t="s">
        <v>6224</v>
      </c>
    </row>
    <row r="413" spans="1:11" x14ac:dyDescent="0.25">
      <c r="A413" s="161" t="s">
        <v>6225</v>
      </c>
      <c r="B413" s="162"/>
      <c r="C413" s="162"/>
      <c r="D413" s="162"/>
      <c r="E413" s="94">
        <f>SUM(E406:E412)</f>
        <v>418953</v>
      </c>
      <c r="F413" s="88"/>
      <c r="G413" s="25"/>
      <c r="H413" s="25"/>
      <c r="I413" s="25"/>
      <c r="J413" s="25"/>
      <c r="K413" s="25"/>
    </row>
    <row r="414" spans="1:11" ht="15.75" customHeight="1" x14ac:dyDescent="0.25">
      <c r="A414" s="146" t="s">
        <v>5157</v>
      </c>
      <c r="B414" s="146"/>
      <c r="C414" s="146"/>
      <c r="D414" s="146"/>
      <c r="E414" s="146"/>
      <c r="F414" s="146"/>
      <c r="G414" s="146"/>
      <c r="H414" s="146"/>
      <c r="I414" s="146"/>
      <c r="J414" s="146"/>
      <c r="K414" s="146"/>
    </row>
    <row r="415" spans="1:11" ht="28.5" x14ac:dyDescent="0.25">
      <c r="A415" s="88">
        <v>108</v>
      </c>
      <c r="B415" s="89" t="s">
        <v>12</v>
      </c>
      <c r="C415" s="25" t="s">
        <v>2</v>
      </c>
      <c r="D415" s="94">
        <v>5539000</v>
      </c>
      <c r="E415" s="89"/>
      <c r="F415" s="88">
        <v>7</v>
      </c>
      <c r="G415" s="89" t="s">
        <v>52</v>
      </c>
      <c r="H415" s="89"/>
      <c r="I415" s="89" t="s">
        <v>4696</v>
      </c>
      <c r="J415" s="89"/>
      <c r="K415" s="89" t="str">
        <f>"　"</f>
        <v>　</v>
      </c>
    </row>
    <row r="416" spans="1:11" ht="85.5" x14ac:dyDescent="0.25">
      <c r="A416" s="88">
        <v>108</v>
      </c>
      <c r="B416" s="89" t="s">
        <v>1128</v>
      </c>
      <c r="C416" s="25" t="s">
        <v>2</v>
      </c>
      <c r="D416" s="89"/>
      <c r="E416" s="94">
        <v>38455</v>
      </c>
      <c r="F416" s="88">
        <v>7</v>
      </c>
      <c r="G416" s="89" t="s">
        <v>5147</v>
      </c>
      <c r="H416" s="89" t="s">
        <v>5148</v>
      </c>
      <c r="I416" s="89" t="s">
        <v>4727</v>
      </c>
      <c r="J416" s="89" t="s">
        <v>4728</v>
      </c>
      <c r="K416" s="89" t="s">
        <v>6751</v>
      </c>
    </row>
    <row r="417" spans="1:11" ht="57" x14ac:dyDescent="0.25">
      <c r="A417" s="88">
        <v>108</v>
      </c>
      <c r="B417" s="89" t="s">
        <v>1114</v>
      </c>
      <c r="C417" s="25" t="s">
        <v>2</v>
      </c>
      <c r="D417" s="89"/>
      <c r="E417" s="94">
        <v>10321</v>
      </c>
      <c r="F417" s="88">
        <v>7</v>
      </c>
      <c r="G417" s="89" t="s">
        <v>5149</v>
      </c>
      <c r="H417" s="89" t="s">
        <v>164</v>
      </c>
      <c r="I417" s="89" t="s">
        <v>4891</v>
      </c>
      <c r="J417" s="89" t="s">
        <v>4892</v>
      </c>
      <c r="K417" s="89" t="s">
        <v>6752</v>
      </c>
    </row>
    <row r="418" spans="1:11" ht="92.25" customHeight="1" x14ac:dyDescent="0.25">
      <c r="A418" s="88">
        <v>108</v>
      </c>
      <c r="B418" s="89" t="s">
        <v>1128</v>
      </c>
      <c r="C418" s="25" t="s">
        <v>2</v>
      </c>
      <c r="D418" s="89"/>
      <c r="E418" s="94">
        <v>38455</v>
      </c>
      <c r="F418" s="88">
        <v>7</v>
      </c>
      <c r="G418" s="89" t="s">
        <v>5147</v>
      </c>
      <c r="H418" s="89" t="s">
        <v>5148</v>
      </c>
      <c r="I418" s="89" t="s">
        <v>4727</v>
      </c>
      <c r="J418" s="89" t="s">
        <v>4728</v>
      </c>
      <c r="K418" s="89" t="s">
        <v>6226</v>
      </c>
    </row>
    <row r="419" spans="1:11" ht="76.5" customHeight="1" x14ac:dyDescent="0.25">
      <c r="A419" s="88">
        <v>108</v>
      </c>
      <c r="B419" s="89" t="s">
        <v>3746</v>
      </c>
      <c r="C419" s="25" t="s">
        <v>2</v>
      </c>
      <c r="D419" s="89"/>
      <c r="E419" s="94">
        <v>59220</v>
      </c>
      <c r="F419" s="88">
        <v>7</v>
      </c>
      <c r="G419" s="89" t="s">
        <v>5150</v>
      </c>
      <c r="H419" s="89" t="s">
        <v>2637</v>
      </c>
      <c r="I419" s="89" t="s">
        <v>4721</v>
      </c>
      <c r="J419" s="89" t="s">
        <v>4282</v>
      </c>
      <c r="K419" s="89" t="s">
        <v>6228</v>
      </c>
    </row>
    <row r="420" spans="1:11" ht="65.25" customHeight="1" x14ac:dyDescent="0.25">
      <c r="A420" s="88">
        <v>108</v>
      </c>
      <c r="B420" s="89" t="s">
        <v>437</v>
      </c>
      <c r="C420" s="25" t="s">
        <v>2</v>
      </c>
      <c r="D420" s="89"/>
      <c r="E420" s="94">
        <v>51909</v>
      </c>
      <c r="F420" s="88">
        <v>7</v>
      </c>
      <c r="G420" s="89" t="s">
        <v>5151</v>
      </c>
      <c r="H420" s="89" t="s">
        <v>5152</v>
      </c>
      <c r="I420" s="89" t="s">
        <v>4721</v>
      </c>
      <c r="J420" s="89" t="s">
        <v>4282</v>
      </c>
      <c r="K420" s="89" t="s">
        <v>6227</v>
      </c>
    </row>
    <row r="421" spans="1:11" ht="18.75" customHeight="1" x14ac:dyDescent="0.25">
      <c r="A421" s="148" t="s">
        <v>6229</v>
      </c>
      <c r="B421" s="149"/>
      <c r="C421" s="149"/>
      <c r="D421" s="149"/>
      <c r="E421" s="70">
        <f>SUM(E415:E420)</f>
        <v>198360</v>
      </c>
      <c r="F421" s="145"/>
      <c r="G421" s="145"/>
      <c r="H421" s="145"/>
      <c r="I421" s="145"/>
      <c r="J421" s="145"/>
      <c r="K421" s="145"/>
    </row>
    <row r="422" spans="1:11" ht="20.25" customHeight="1" x14ac:dyDescent="0.25">
      <c r="A422" s="147" t="s">
        <v>6230</v>
      </c>
      <c r="B422" s="147"/>
      <c r="C422" s="147"/>
      <c r="D422" s="147"/>
      <c r="E422" s="147"/>
      <c r="F422" s="147"/>
      <c r="G422" s="147"/>
      <c r="H422" s="147"/>
      <c r="I422" s="147"/>
      <c r="J422" s="147"/>
      <c r="K422" s="147"/>
    </row>
    <row r="423" spans="1:11" ht="28.5" x14ac:dyDescent="0.25">
      <c r="A423" s="88">
        <v>108</v>
      </c>
      <c r="B423" s="89" t="s">
        <v>12</v>
      </c>
      <c r="C423" s="25" t="s">
        <v>2</v>
      </c>
      <c r="D423" s="94">
        <v>5539000</v>
      </c>
      <c r="E423" s="89"/>
      <c r="F423" s="88">
        <v>7</v>
      </c>
      <c r="G423" s="89" t="s">
        <v>52</v>
      </c>
      <c r="H423" s="89"/>
      <c r="I423" s="89" t="s">
        <v>4696</v>
      </c>
      <c r="J423" s="89"/>
      <c r="K423" s="89" t="str">
        <f>"　"</f>
        <v>　</v>
      </c>
    </row>
    <row r="424" spans="1:11" ht="42.75" x14ac:dyDescent="0.25">
      <c r="A424" s="88">
        <v>108</v>
      </c>
      <c r="B424" s="89" t="s">
        <v>5167</v>
      </c>
      <c r="C424" s="25" t="s">
        <v>2</v>
      </c>
      <c r="D424" s="89"/>
      <c r="E424" s="94">
        <v>60000</v>
      </c>
      <c r="F424" s="88">
        <v>7</v>
      </c>
      <c r="G424" s="89" t="s">
        <v>5168</v>
      </c>
      <c r="H424" s="89" t="s">
        <v>5169</v>
      </c>
      <c r="I424" s="89" t="s">
        <v>4721</v>
      </c>
      <c r="J424" s="89" t="s">
        <v>4282</v>
      </c>
      <c r="K424" s="67" t="s">
        <v>6753</v>
      </c>
    </row>
    <row r="425" spans="1:11" ht="42.75" x14ac:dyDescent="0.25">
      <c r="A425" s="88">
        <v>108</v>
      </c>
      <c r="B425" s="89" t="s">
        <v>5170</v>
      </c>
      <c r="C425" s="25" t="s">
        <v>2</v>
      </c>
      <c r="D425" s="89"/>
      <c r="E425" s="94">
        <v>48838</v>
      </c>
      <c r="F425" s="88">
        <v>7</v>
      </c>
      <c r="G425" s="89" t="s">
        <v>5171</v>
      </c>
      <c r="H425" s="89" t="s">
        <v>5172</v>
      </c>
      <c r="I425" s="89" t="s">
        <v>4706</v>
      </c>
      <c r="J425" s="89" t="s">
        <v>4174</v>
      </c>
      <c r="K425" s="89" t="s">
        <v>6231</v>
      </c>
    </row>
    <row r="426" spans="1:11" ht="42.75" x14ac:dyDescent="0.25">
      <c r="A426" s="88">
        <v>108</v>
      </c>
      <c r="B426" s="89" t="s">
        <v>5173</v>
      </c>
      <c r="C426" s="25" t="s">
        <v>2</v>
      </c>
      <c r="D426" s="89"/>
      <c r="E426" s="94">
        <v>35300</v>
      </c>
      <c r="F426" s="88">
        <v>7</v>
      </c>
      <c r="G426" s="89" t="s">
        <v>5171</v>
      </c>
      <c r="H426" s="89" t="s">
        <v>5061</v>
      </c>
      <c r="I426" s="89" t="s">
        <v>4706</v>
      </c>
      <c r="J426" s="89" t="s">
        <v>4174</v>
      </c>
      <c r="K426" s="89" t="str">
        <f>"00052400"</f>
        <v>00052400</v>
      </c>
    </row>
    <row r="427" spans="1:11" ht="71.25" x14ac:dyDescent="0.25">
      <c r="A427" s="88">
        <v>108</v>
      </c>
      <c r="B427" s="89" t="s">
        <v>5174</v>
      </c>
      <c r="C427" s="25" t="s">
        <v>2</v>
      </c>
      <c r="D427" s="89"/>
      <c r="E427" s="94">
        <v>120000</v>
      </c>
      <c r="F427" s="88">
        <v>7</v>
      </c>
      <c r="G427" s="89" t="s">
        <v>5175</v>
      </c>
      <c r="H427" s="89" t="s">
        <v>5176</v>
      </c>
      <c r="I427" s="89" t="s">
        <v>5177</v>
      </c>
      <c r="J427" s="89" t="s">
        <v>5178</v>
      </c>
      <c r="K427" s="89" t="s">
        <v>6233</v>
      </c>
    </row>
    <row r="428" spans="1:11" x14ac:dyDescent="0.25">
      <c r="A428" s="148" t="s">
        <v>6232</v>
      </c>
      <c r="B428" s="149"/>
      <c r="C428" s="149"/>
      <c r="D428" s="149"/>
      <c r="E428" s="94">
        <f>SUM(E423:E427)</f>
        <v>264138</v>
      </c>
      <c r="F428" s="145"/>
      <c r="G428" s="145"/>
      <c r="H428" s="145"/>
      <c r="I428" s="145"/>
      <c r="J428" s="145"/>
      <c r="K428" s="145"/>
    </row>
    <row r="429" spans="1:11" ht="15.75" customHeight="1" x14ac:dyDescent="0.25">
      <c r="A429" s="146" t="s">
        <v>5179</v>
      </c>
      <c r="B429" s="146"/>
      <c r="C429" s="146"/>
      <c r="D429" s="146"/>
      <c r="E429" s="146"/>
      <c r="F429" s="146"/>
      <c r="G429" s="146"/>
      <c r="H429" s="146"/>
      <c r="I429" s="146"/>
      <c r="J429" s="146"/>
      <c r="K429" s="146"/>
    </row>
    <row r="430" spans="1:11" ht="28.5" x14ac:dyDescent="0.25">
      <c r="A430" s="88">
        <v>108</v>
      </c>
      <c r="B430" s="89" t="s">
        <v>12</v>
      </c>
      <c r="C430" s="25" t="s">
        <v>2</v>
      </c>
      <c r="D430" s="94">
        <v>5539000</v>
      </c>
      <c r="E430" s="89"/>
      <c r="F430" s="88">
        <v>7</v>
      </c>
      <c r="G430" s="89" t="s">
        <v>52</v>
      </c>
      <c r="H430" s="89"/>
      <c r="I430" s="89" t="s">
        <v>4696</v>
      </c>
      <c r="J430" s="89"/>
      <c r="K430" s="89" t="str">
        <f>"　"</f>
        <v>　</v>
      </c>
    </row>
    <row r="431" spans="1:11" ht="85.5" x14ac:dyDescent="0.25">
      <c r="A431" s="88">
        <v>108</v>
      </c>
      <c r="B431" s="89" t="s">
        <v>5183</v>
      </c>
      <c r="C431" s="25" t="s">
        <v>2</v>
      </c>
      <c r="D431" s="89"/>
      <c r="E431" s="94">
        <v>38320</v>
      </c>
      <c r="F431" s="88">
        <v>7</v>
      </c>
      <c r="G431" s="89" t="s">
        <v>5184</v>
      </c>
      <c r="H431" s="89" t="s">
        <v>236</v>
      </c>
      <c r="I431" s="89" t="s">
        <v>4699</v>
      </c>
      <c r="J431" s="89" t="s">
        <v>5185</v>
      </c>
      <c r="K431" s="89" t="s">
        <v>5186</v>
      </c>
    </row>
    <row r="432" spans="1:11" ht="128.25" x14ac:dyDescent="0.25">
      <c r="A432" s="88">
        <v>108</v>
      </c>
      <c r="B432" s="89" t="s">
        <v>4200</v>
      </c>
      <c r="C432" s="25" t="s">
        <v>2</v>
      </c>
      <c r="D432" s="89"/>
      <c r="E432" s="94">
        <v>16620</v>
      </c>
      <c r="F432" s="88">
        <v>7</v>
      </c>
      <c r="G432" s="89" t="s">
        <v>5187</v>
      </c>
      <c r="H432" s="89" t="s">
        <v>5188</v>
      </c>
      <c r="I432" s="89" t="s">
        <v>71</v>
      </c>
      <c r="J432" s="89" t="s">
        <v>72</v>
      </c>
      <c r="K432" s="89" t="str">
        <f>"00052714"</f>
        <v>00052714</v>
      </c>
    </row>
    <row r="433" spans="1:11" x14ac:dyDescent="0.25">
      <c r="A433" s="148" t="s">
        <v>6234</v>
      </c>
      <c r="B433" s="149"/>
      <c r="C433" s="149"/>
      <c r="D433" s="149"/>
      <c r="E433" s="94">
        <f>SUM(E430:E432)</f>
        <v>54940</v>
      </c>
      <c r="F433" s="145"/>
      <c r="G433" s="145"/>
      <c r="H433" s="145"/>
      <c r="I433" s="145"/>
      <c r="J433" s="145"/>
      <c r="K433" s="145"/>
    </row>
    <row r="434" spans="1:11" ht="15.75" customHeight="1" x14ac:dyDescent="0.25">
      <c r="A434" s="146" t="s">
        <v>6235</v>
      </c>
      <c r="B434" s="146"/>
      <c r="C434" s="146"/>
      <c r="D434" s="146"/>
      <c r="E434" s="146"/>
      <c r="F434" s="146"/>
      <c r="G434" s="146"/>
      <c r="H434" s="146"/>
      <c r="I434" s="146"/>
      <c r="J434" s="146"/>
      <c r="K434" s="146"/>
    </row>
    <row r="435" spans="1:11" ht="28.5" x14ac:dyDescent="0.25">
      <c r="A435" s="35">
        <v>108</v>
      </c>
      <c r="B435" s="34" t="s">
        <v>12</v>
      </c>
      <c r="C435" s="122" t="s">
        <v>2</v>
      </c>
      <c r="D435" s="65">
        <v>5539000</v>
      </c>
      <c r="E435" s="34"/>
      <c r="F435" s="35">
        <v>7</v>
      </c>
      <c r="G435" s="34" t="s">
        <v>52</v>
      </c>
      <c r="H435" s="34"/>
      <c r="I435" s="34" t="s">
        <v>4696</v>
      </c>
      <c r="J435" s="34"/>
      <c r="K435" s="34"/>
    </row>
    <row r="436" spans="1:11" ht="76.5" customHeight="1" x14ac:dyDescent="0.25">
      <c r="A436" s="35">
        <v>108</v>
      </c>
      <c r="B436" s="34" t="s">
        <v>5204</v>
      </c>
      <c r="C436" s="122" t="s">
        <v>2</v>
      </c>
      <c r="D436" s="34"/>
      <c r="E436" s="65">
        <v>40000</v>
      </c>
      <c r="F436" s="35">
        <v>7</v>
      </c>
      <c r="G436" s="34" t="s">
        <v>5205</v>
      </c>
      <c r="H436" s="34" t="s">
        <v>5206</v>
      </c>
      <c r="I436" s="34" t="s">
        <v>4721</v>
      </c>
      <c r="J436" s="34" t="s">
        <v>4282</v>
      </c>
      <c r="K436" s="63" t="s">
        <v>5344</v>
      </c>
    </row>
    <row r="437" spans="1:11" ht="77.25" customHeight="1" x14ac:dyDescent="0.25">
      <c r="A437" s="35">
        <v>108</v>
      </c>
      <c r="B437" s="34" t="s">
        <v>5204</v>
      </c>
      <c r="C437" s="122" t="s">
        <v>2</v>
      </c>
      <c r="D437" s="34"/>
      <c r="E437" s="65">
        <v>60000</v>
      </c>
      <c r="F437" s="35">
        <v>7</v>
      </c>
      <c r="G437" s="34" t="s">
        <v>5207</v>
      </c>
      <c r="H437" s="34" t="s">
        <v>5208</v>
      </c>
      <c r="I437" s="34" t="s">
        <v>4721</v>
      </c>
      <c r="J437" s="34" t="s">
        <v>4282</v>
      </c>
      <c r="K437" s="63" t="s">
        <v>5345</v>
      </c>
    </row>
    <row r="438" spans="1:11" ht="42.75" x14ac:dyDescent="0.25">
      <c r="A438" s="35">
        <v>108</v>
      </c>
      <c r="B438" s="34" t="s">
        <v>2842</v>
      </c>
      <c r="C438" s="122" t="s">
        <v>2</v>
      </c>
      <c r="D438" s="34"/>
      <c r="E438" s="65">
        <v>66356</v>
      </c>
      <c r="F438" s="35">
        <v>7</v>
      </c>
      <c r="G438" s="34" t="s">
        <v>5209</v>
      </c>
      <c r="H438" s="34" t="s">
        <v>868</v>
      </c>
      <c r="I438" s="34" t="s">
        <v>5210</v>
      </c>
      <c r="J438" s="34" t="s">
        <v>5211</v>
      </c>
      <c r="K438" s="63" t="s">
        <v>5346</v>
      </c>
    </row>
    <row r="439" spans="1:11" ht="128.25" x14ac:dyDescent="0.25">
      <c r="A439" s="35">
        <v>108</v>
      </c>
      <c r="B439" s="34" t="s">
        <v>2842</v>
      </c>
      <c r="C439" s="122" t="s">
        <v>2</v>
      </c>
      <c r="D439" s="34"/>
      <c r="E439" s="65">
        <v>15787</v>
      </c>
      <c r="F439" s="35">
        <v>7</v>
      </c>
      <c r="G439" s="34" t="s">
        <v>5212</v>
      </c>
      <c r="H439" s="34" t="s">
        <v>5190</v>
      </c>
      <c r="I439" s="34" t="s">
        <v>5191</v>
      </c>
      <c r="J439" s="34" t="s">
        <v>5192</v>
      </c>
      <c r="K439" s="63" t="s">
        <v>5347</v>
      </c>
    </row>
    <row r="440" spans="1:11" ht="42.75" x14ac:dyDescent="0.25">
      <c r="A440" s="35">
        <v>108</v>
      </c>
      <c r="B440" s="34" t="s">
        <v>2842</v>
      </c>
      <c r="C440" s="122" t="s">
        <v>2</v>
      </c>
      <c r="D440" s="34"/>
      <c r="E440" s="65">
        <v>50470</v>
      </c>
      <c r="F440" s="35">
        <v>7</v>
      </c>
      <c r="G440" s="34" t="s">
        <v>5213</v>
      </c>
      <c r="H440" s="34" t="s">
        <v>5214</v>
      </c>
      <c r="I440" s="34" t="s">
        <v>4822</v>
      </c>
      <c r="J440" s="34" t="s">
        <v>4823</v>
      </c>
      <c r="K440" s="63" t="s">
        <v>5348</v>
      </c>
    </row>
    <row r="441" spans="1:11" ht="42.75" x14ac:dyDescent="0.25">
      <c r="A441" s="35">
        <v>108</v>
      </c>
      <c r="B441" s="34" t="s">
        <v>5204</v>
      </c>
      <c r="C441" s="122" t="s">
        <v>2</v>
      </c>
      <c r="D441" s="34"/>
      <c r="E441" s="65">
        <v>20000</v>
      </c>
      <c r="F441" s="35">
        <v>7</v>
      </c>
      <c r="G441" s="34" t="s">
        <v>5215</v>
      </c>
      <c r="H441" s="34" t="s">
        <v>2332</v>
      </c>
      <c r="I441" s="34" t="s">
        <v>4721</v>
      </c>
      <c r="J441" s="34" t="s">
        <v>4282</v>
      </c>
      <c r="K441" s="63" t="s">
        <v>5349</v>
      </c>
    </row>
    <row r="442" spans="1:11" ht="57" x14ac:dyDescent="0.25">
      <c r="A442" s="35">
        <v>108</v>
      </c>
      <c r="B442" s="34" t="s">
        <v>2834</v>
      </c>
      <c r="C442" s="122" t="s">
        <v>2</v>
      </c>
      <c r="D442" s="34"/>
      <c r="E442" s="65">
        <v>32039</v>
      </c>
      <c r="F442" s="35">
        <v>7</v>
      </c>
      <c r="G442" s="34" t="s">
        <v>5216</v>
      </c>
      <c r="H442" s="34" t="s">
        <v>5217</v>
      </c>
      <c r="I442" s="34" t="s">
        <v>4822</v>
      </c>
      <c r="J442" s="34" t="s">
        <v>4823</v>
      </c>
      <c r="K442" s="63" t="s">
        <v>5350</v>
      </c>
    </row>
    <row r="443" spans="1:11" x14ac:dyDescent="0.25">
      <c r="A443" s="151" t="s">
        <v>6236</v>
      </c>
      <c r="B443" s="151"/>
      <c r="C443" s="151"/>
      <c r="D443" s="151"/>
      <c r="E443" s="126">
        <f>SUM(E435:E442)</f>
        <v>284652</v>
      </c>
      <c r="F443" s="137"/>
      <c r="G443" s="137"/>
      <c r="H443" s="137"/>
      <c r="I443" s="137"/>
      <c r="J443" s="137"/>
      <c r="K443" s="137"/>
    </row>
    <row r="444" spans="1:11" x14ac:dyDescent="0.25">
      <c r="A444" s="147" t="s">
        <v>6237</v>
      </c>
      <c r="B444" s="147"/>
      <c r="C444" s="147"/>
      <c r="D444" s="147"/>
      <c r="E444" s="147"/>
      <c r="F444" s="147"/>
      <c r="G444" s="147"/>
      <c r="H444" s="147"/>
      <c r="I444" s="147"/>
      <c r="J444" s="147"/>
      <c r="K444" s="147"/>
    </row>
    <row r="445" spans="1:11" ht="37.5" customHeight="1" x14ac:dyDescent="0.25">
      <c r="A445" s="37">
        <v>108</v>
      </c>
      <c r="B445" s="38" t="s">
        <v>12</v>
      </c>
      <c r="C445" s="123" t="s">
        <v>2</v>
      </c>
      <c r="D445" s="66">
        <v>5539000</v>
      </c>
      <c r="E445" s="38"/>
      <c r="F445" s="37">
        <v>7</v>
      </c>
      <c r="G445" s="38" t="s">
        <v>52</v>
      </c>
      <c r="H445" s="38"/>
      <c r="I445" s="38" t="s">
        <v>4696</v>
      </c>
      <c r="J445" s="38"/>
      <c r="K445" s="38">
        <v>0</v>
      </c>
    </row>
    <row r="446" spans="1:11" ht="42.75" x14ac:dyDescent="0.25">
      <c r="A446" s="37">
        <v>108</v>
      </c>
      <c r="B446" s="38" t="s">
        <v>5229</v>
      </c>
      <c r="C446" s="123" t="s">
        <v>2</v>
      </c>
      <c r="D446" s="38"/>
      <c r="E446" s="66">
        <v>130382</v>
      </c>
      <c r="F446" s="37">
        <v>7</v>
      </c>
      <c r="G446" s="38" t="s">
        <v>5230</v>
      </c>
      <c r="H446" s="38" t="s">
        <v>5231</v>
      </c>
      <c r="I446" s="38" t="s">
        <v>4787</v>
      </c>
      <c r="J446" s="38" t="s">
        <v>4746</v>
      </c>
      <c r="K446" s="38">
        <v>0</v>
      </c>
    </row>
    <row r="447" spans="1:11" ht="42.75" x14ac:dyDescent="0.25">
      <c r="A447" s="37">
        <v>108</v>
      </c>
      <c r="B447" s="38" t="s">
        <v>5232</v>
      </c>
      <c r="C447" s="123" t="s">
        <v>2</v>
      </c>
      <c r="D447" s="38"/>
      <c r="E447" s="66">
        <v>53494</v>
      </c>
      <c r="F447" s="37">
        <v>7</v>
      </c>
      <c r="G447" s="38" t="s">
        <v>5233</v>
      </c>
      <c r="H447" s="38" t="s">
        <v>5234</v>
      </c>
      <c r="I447" s="38" t="s">
        <v>4787</v>
      </c>
      <c r="J447" s="38" t="s">
        <v>4746</v>
      </c>
      <c r="K447" s="38">
        <v>0</v>
      </c>
    </row>
    <row r="448" spans="1:11" ht="42.75" x14ac:dyDescent="0.25">
      <c r="A448" s="37">
        <v>108</v>
      </c>
      <c r="B448" s="38" t="s">
        <v>4659</v>
      </c>
      <c r="C448" s="123" t="s">
        <v>2</v>
      </c>
      <c r="D448" s="38"/>
      <c r="E448" s="66">
        <v>2435</v>
      </c>
      <c r="F448" s="37">
        <v>7</v>
      </c>
      <c r="G448" s="38" t="s">
        <v>4659</v>
      </c>
      <c r="H448" s="38" t="s">
        <v>4660</v>
      </c>
      <c r="I448" s="38" t="s">
        <v>71</v>
      </c>
      <c r="J448" s="38" t="s">
        <v>4661</v>
      </c>
      <c r="K448" s="38">
        <v>0</v>
      </c>
    </row>
    <row r="449" spans="1:11" x14ac:dyDescent="0.25">
      <c r="A449" s="167" t="s">
        <v>6238</v>
      </c>
      <c r="B449" s="149"/>
      <c r="C449" s="149"/>
      <c r="D449" s="143"/>
      <c r="E449" s="66">
        <f>SUM(E445:E448)</f>
        <v>186311</v>
      </c>
      <c r="F449" s="174"/>
      <c r="G449" s="174"/>
      <c r="H449" s="174"/>
      <c r="I449" s="174"/>
      <c r="J449" s="174"/>
      <c r="K449" s="174"/>
    </row>
    <row r="450" spans="1:11" ht="15.75" customHeight="1" x14ac:dyDescent="0.25">
      <c r="A450" s="173" t="s">
        <v>6239</v>
      </c>
      <c r="B450" s="173"/>
      <c r="C450" s="173"/>
      <c r="D450" s="173"/>
      <c r="E450" s="173"/>
      <c r="F450" s="173"/>
      <c r="G450" s="173"/>
      <c r="H450" s="173"/>
      <c r="I450" s="173"/>
      <c r="J450" s="173"/>
      <c r="K450" s="173"/>
    </row>
    <row r="451" spans="1:11" ht="28.5" x14ac:dyDescent="0.25">
      <c r="A451" s="88">
        <v>108</v>
      </c>
      <c r="B451" s="89" t="s">
        <v>12</v>
      </c>
      <c r="C451" s="25" t="s">
        <v>2</v>
      </c>
      <c r="D451" s="94">
        <v>5539000</v>
      </c>
      <c r="E451" s="89"/>
      <c r="F451" s="88">
        <v>7</v>
      </c>
      <c r="G451" s="89" t="s">
        <v>52</v>
      </c>
      <c r="H451" s="89"/>
      <c r="I451" s="89" t="s">
        <v>4696</v>
      </c>
      <c r="J451" s="89"/>
      <c r="K451" s="89" t="str">
        <f>"　"</f>
        <v>　</v>
      </c>
    </row>
    <row r="452" spans="1:11" ht="42.75" x14ac:dyDescent="0.25">
      <c r="A452" s="88">
        <v>108</v>
      </c>
      <c r="B452" s="89" t="s">
        <v>737</v>
      </c>
      <c r="C452" s="25" t="s">
        <v>2</v>
      </c>
      <c r="D452" s="89"/>
      <c r="E452" s="94">
        <v>19887</v>
      </c>
      <c r="F452" s="88">
        <v>7</v>
      </c>
      <c r="G452" s="89" t="s">
        <v>5592</v>
      </c>
      <c r="H452" s="89" t="s">
        <v>5236</v>
      </c>
      <c r="I452" s="89" t="s">
        <v>5593</v>
      </c>
      <c r="J452" s="89" t="s">
        <v>5594</v>
      </c>
      <c r="K452" s="89" t="s">
        <v>6758</v>
      </c>
    </row>
    <row r="453" spans="1:11" ht="42.75" x14ac:dyDescent="0.25">
      <c r="A453" s="88">
        <v>108</v>
      </c>
      <c r="B453" s="89" t="s">
        <v>737</v>
      </c>
      <c r="C453" s="25" t="s">
        <v>2</v>
      </c>
      <c r="D453" s="89"/>
      <c r="E453" s="94">
        <v>20970</v>
      </c>
      <c r="F453" s="88">
        <v>7</v>
      </c>
      <c r="G453" s="89" t="s">
        <v>5595</v>
      </c>
      <c r="H453" s="89" t="s">
        <v>5237</v>
      </c>
      <c r="I453" s="89" t="s">
        <v>5252</v>
      </c>
      <c r="J453" s="89" t="s">
        <v>5596</v>
      </c>
      <c r="K453" s="89" t="s">
        <v>6757</v>
      </c>
    </row>
    <row r="454" spans="1:11" ht="42.75" x14ac:dyDescent="0.25">
      <c r="A454" s="88">
        <v>108</v>
      </c>
      <c r="B454" s="89" t="s">
        <v>737</v>
      </c>
      <c r="C454" s="25" t="s">
        <v>2</v>
      </c>
      <c r="D454" s="89"/>
      <c r="E454" s="94">
        <v>37134</v>
      </c>
      <c r="F454" s="88">
        <v>7</v>
      </c>
      <c r="G454" s="89" t="s">
        <v>5597</v>
      </c>
      <c r="H454" s="89" t="s">
        <v>602</v>
      </c>
      <c r="I454" s="89" t="s">
        <v>5598</v>
      </c>
      <c r="J454" s="89" t="s">
        <v>5599</v>
      </c>
      <c r="K454" s="89" t="s">
        <v>6756</v>
      </c>
    </row>
    <row r="455" spans="1:11" ht="42.75" x14ac:dyDescent="0.25">
      <c r="A455" s="88">
        <v>108</v>
      </c>
      <c r="B455" s="89" t="s">
        <v>737</v>
      </c>
      <c r="C455" s="25" t="s">
        <v>2</v>
      </c>
      <c r="D455" s="89"/>
      <c r="E455" s="94">
        <v>51763</v>
      </c>
      <c r="F455" s="88">
        <v>7</v>
      </c>
      <c r="G455" s="89" t="s">
        <v>5600</v>
      </c>
      <c r="H455" s="89" t="s">
        <v>5238</v>
      </c>
      <c r="I455" s="89" t="s">
        <v>5601</v>
      </c>
      <c r="J455" s="89" t="s">
        <v>5602</v>
      </c>
      <c r="K455" s="89" t="s">
        <v>6755</v>
      </c>
    </row>
    <row r="456" spans="1:11" ht="42.75" x14ac:dyDescent="0.25">
      <c r="A456" s="88">
        <v>108</v>
      </c>
      <c r="B456" s="89" t="s">
        <v>737</v>
      </c>
      <c r="C456" s="25" t="s">
        <v>2</v>
      </c>
      <c r="D456" s="89"/>
      <c r="E456" s="94">
        <v>28892</v>
      </c>
      <c r="F456" s="88">
        <v>7</v>
      </c>
      <c r="G456" s="89" t="s">
        <v>5603</v>
      </c>
      <c r="H456" s="89" t="s">
        <v>5239</v>
      </c>
      <c r="I456" s="89" t="s">
        <v>4891</v>
      </c>
      <c r="J456" s="89" t="s">
        <v>4892</v>
      </c>
      <c r="K456" s="89" t="s">
        <v>6754</v>
      </c>
    </row>
    <row r="457" spans="1:11" ht="63" customHeight="1" x14ac:dyDescent="0.25">
      <c r="A457" s="88">
        <v>108</v>
      </c>
      <c r="B457" s="89" t="s">
        <v>5604</v>
      </c>
      <c r="C457" s="25" t="s">
        <v>2</v>
      </c>
      <c r="D457" s="89"/>
      <c r="E457" s="94">
        <v>46701</v>
      </c>
      <c r="F457" s="88">
        <v>7</v>
      </c>
      <c r="G457" s="89" t="s">
        <v>5605</v>
      </c>
      <c r="H457" s="89" t="s">
        <v>5240</v>
      </c>
      <c r="I457" s="89" t="s">
        <v>5606</v>
      </c>
      <c r="J457" s="89" t="s">
        <v>5607</v>
      </c>
      <c r="K457" s="89" t="s">
        <v>6276</v>
      </c>
    </row>
    <row r="458" spans="1:11" ht="90" customHeight="1" x14ac:dyDescent="0.25">
      <c r="A458" s="88">
        <v>108</v>
      </c>
      <c r="B458" s="89" t="s">
        <v>5608</v>
      </c>
      <c r="C458" s="25" t="s">
        <v>2</v>
      </c>
      <c r="D458" s="89"/>
      <c r="E458" s="94">
        <v>54407</v>
      </c>
      <c r="F458" s="88">
        <v>7</v>
      </c>
      <c r="G458" s="89" t="s">
        <v>5609</v>
      </c>
      <c r="H458" s="89" t="s">
        <v>5241</v>
      </c>
      <c r="I458" s="89" t="s">
        <v>4706</v>
      </c>
      <c r="J458" s="89" t="s">
        <v>4174</v>
      </c>
      <c r="K458" s="89" t="s">
        <v>6265</v>
      </c>
    </row>
    <row r="459" spans="1:11" x14ac:dyDescent="0.25">
      <c r="A459" s="148" t="s">
        <v>6240</v>
      </c>
      <c r="B459" s="149"/>
      <c r="C459" s="149"/>
      <c r="D459" s="149"/>
      <c r="E459" s="94">
        <f>SUM(E451:E458)</f>
        <v>259754</v>
      </c>
      <c r="F459" s="145"/>
      <c r="G459" s="145"/>
      <c r="H459" s="145"/>
      <c r="I459" s="145"/>
      <c r="J459" s="145"/>
      <c r="K459" s="145"/>
    </row>
    <row r="460" spans="1:11" ht="15.75" customHeight="1" x14ac:dyDescent="0.25">
      <c r="A460" s="146" t="s">
        <v>6241</v>
      </c>
      <c r="B460" s="146"/>
      <c r="C460" s="146"/>
      <c r="D460" s="146"/>
      <c r="E460" s="146"/>
      <c r="F460" s="146"/>
      <c r="G460" s="146"/>
      <c r="H460" s="146"/>
      <c r="I460" s="146"/>
      <c r="J460" s="146"/>
      <c r="K460" s="146"/>
    </row>
    <row r="461" spans="1:11" ht="28.5" x14ac:dyDescent="0.25">
      <c r="A461" s="88">
        <v>108</v>
      </c>
      <c r="B461" s="89" t="s">
        <v>12</v>
      </c>
      <c r="C461" s="25" t="s">
        <v>2</v>
      </c>
      <c r="D461" s="94">
        <v>5539000</v>
      </c>
      <c r="E461" s="129"/>
      <c r="F461" s="88">
        <v>7</v>
      </c>
      <c r="G461" s="89" t="s">
        <v>52</v>
      </c>
      <c r="H461" s="89"/>
      <c r="I461" s="89" t="s">
        <v>4696</v>
      </c>
      <c r="J461" s="89"/>
      <c r="K461" s="89" t="str">
        <f>"　"</f>
        <v>　</v>
      </c>
    </row>
    <row r="462" spans="1:11" ht="42.75" x14ac:dyDescent="0.25">
      <c r="A462" s="88">
        <v>108</v>
      </c>
      <c r="B462" s="89" t="s">
        <v>5255</v>
      </c>
      <c r="C462" s="25" t="s">
        <v>2</v>
      </c>
      <c r="D462" s="89"/>
      <c r="E462" s="68">
        <v>14469</v>
      </c>
      <c r="F462" s="88">
        <v>7</v>
      </c>
      <c r="G462" s="89" t="s">
        <v>5256</v>
      </c>
      <c r="H462" s="89" t="s">
        <v>5257</v>
      </c>
      <c r="I462" s="89" t="s">
        <v>4722</v>
      </c>
      <c r="J462" s="89" t="s">
        <v>76</v>
      </c>
      <c r="K462" s="89" t="str">
        <f>"00046886"</f>
        <v>00046886</v>
      </c>
    </row>
    <row r="463" spans="1:11" ht="42.75" x14ac:dyDescent="0.25">
      <c r="A463" s="88">
        <v>108</v>
      </c>
      <c r="B463" s="89" t="s">
        <v>5255</v>
      </c>
      <c r="C463" s="25" t="s">
        <v>2</v>
      </c>
      <c r="D463" s="89"/>
      <c r="E463" s="68">
        <v>14053</v>
      </c>
      <c r="F463" s="88">
        <v>7</v>
      </c>
      <c r="G463" s="89" t="s">
        <v>5256</v>
      </c>
      <c r="H463" s="89" t="s">
        <v>5258</v>
      </c>
      <c r="I463" s="89" t="s">
        <v>4722</v>
      </c>
      <c r="J463" s="89" t="s">
        <v>76</v>
      </c>
      <c r="K463" s="89" t="str">
        <f>"00047723"</f>
        <v>00047723</v>
      </c>
    </row>
    <row r="464" spans="1:11" ht="42.75" x14ac:dyDescent="0.25">
      <c r="A464" s="88">
        <v>108</v>
      </c>
      <c r="B464" s="89" t="s">
        <v>5255</v>
      </c>
      <c r="C464" s="25" t="s">
        <v>2</v>
      </c>
      <c r="D464" s="89"/>
      <c r="E464" s="68">
        <v>14586</v>
      </c>
      <c r="F464" s="88">
        <v>7</v>
      </c>
      <c r="G464" s="89" t="s">
        <v>5259</v>
      </c>
      <c r="H464" s="89" t="s">
        <v>5260</v>
      </c>
      <c r="I464" s="89" t="s">
        <v>4722</v>
      </c>
      <c r="J464" s="89" t="s">
        <v>76</v>
      </c>
      <c r="K464" s="89" t="str">
        <f>"00049161"</f>
        <v>00049161</v>
      </c>
    </row>
    <row r="465" spans="1:11" ht="42.75" x14ac:dyDescent="0.25">
      <c r="A465" s="88">
        <v>108</v>
      </c>
      <c r="B465" s="89" t="s">
        <v>5610</v>
      </c>
      <c r="C465" s="25" t="s">
        <v>2</v>
      </c>
      <c r="D465" s="89"/>
      <c r="E465" s="46">
        <v>21145</v>
      </c>
      <c r="F465" s="86">
        <v>6</v>
      </c>
      <c r="G465" s="89" t="s">
        <v>5261</v>
      </c>
      <c r="H465" s="89" t="s">
        <v>5611</v>
      </c>
      <c r="I465" s="89" t="s">
        <v>5612</v>
      </c>
      <c r="J465" s="89" t="s">
        <v>5613</v>
      </c>
      <c r="K465" s="43" t="s">
        <v>5262</v>
      </c>
    </row>
    <row r="466" spans="1:11" ht="15.75" customHeight="1" x14ac:dyDescent="0.25">
      <c r="A466" s="159" t="s">
        <v>6242</v>
      </c>
      <c r="B466" s="159"/>
      <c r="C466" s="159"/>
      <c r="D466" s="159"/>
      <c r="E466" s="29">
        <f>SUM(E461:E465)</f>
        <v>64253</v>
      </c>
      <c r="F466" s="145"/>
      <c r="G466" s="145"/>
      <c r="H466" s="145"/>
      <c r="I466" s="145"/>
      <c r="J466" s="145"/>
      <c r="K466" s="145"/>
    </row>
    <row r="467" spans="1:11" ht="15.75" customHeight="1" x14ac:dyDescent="0.25">
      <c r="A467" s="146" t="s">
        <v>6243</v>
      </c>
      <c r="B467" s="146"/>
      <c r="C467" s="146"/>
      <c r="D467" s="146"/>
      <c r="E467" s="146"/>
      <c r="F467" s="146"/>
      <c r="G467" s="146"/>
      <c r="H467" s="146"/>
      <c r="I467" s="146"/>
      <c r="J467" s="146"/>
      <c r="K467" s="146"/>
    </row>
    <row r="468" spans="1:11" ht="28.5" x14ac:dyDescent="0.25">
      <c r="A468" s="88">
        <v>108</v>
      </c>
      <c r="B468" s="89" t="s">
        <v>12</v>
      </c>
      <c r="C468" s="25" t="s">
        <v>2</v>
      </c>
      <c r="D468" s="94">
        <v>5539000</v>
      </c>
      <c r="E468" s="89"/>
      <c r="F468" s="88">
        <v>7</v>
      </c>
      <c r="G468" s="89" t="s">
        <v>52</v>
      </c>
      <c r="H468" s="89"/>
      <c r="I468" s="89" t="s">
        <v>4696</v>
      </c>
      <c r="J468" s="89"/>
      <c r="K468" s="89" t="str">
        <f>"　"</f>
        <v>　</v>
      </c>
    </row>
    <row r="469" spans="1:11" ht="85.5" x14ac:dyDescent="0.25">
      <c r="A469" s="88">
        <v>108</v>
      </c>
      <c r="B469" s="89" t="s">
        <v>5284</v>
      </c>
      <c r="C469" s="25" t="s">
        <v>2</v>
      </c>
      <c r="D469" s="89"/>
      <c r="E469" s="94">
        <v>18090</v>
      </c>
      <c r="F469" s="88">
        <v>7</v>
      </c>
      <c r="G469" s="89" t="s">
        <v>5284</v>
      </c>
      <c r="H469" s="89" t="s">
        <v>5275</v>
      </c>
      <c r="I469" s="89" t="s">
        <v>71</v>
      </c>
      <c r="J469" s="89" t="s">
        <v>5276</v>
      </c>
      <c r="K469" s="89" t="str">
        <f>"00048214"</f>
        <v>00048214</v>
      </c>
    </row>
    <row r="470" spans="1:11" ht="85.5" x14ac:dyDescent="0.25">
      <c r="A470" s="88">
        <v>108</v>
      </c>
      <c r="B470" s="89" t="s">
        <v>5285</v>
      </c>
      <c r="C470" s="25" t="s">
        <v>2</v>
      </c>
      <c r="D470" s="89"/>
      <c r="E470" s="94">
        <v>38054</v>
      </c>
      <c r="F470" s="88">
        <v>7</v>
      </c>
      <c r="G470" s="89" t="s">
        <v>5285</v>
      </c>
      <c r="H470" s="89" t="s">
        <v>5275</v>
      </c>
      <c r="I470" s="89" t="s">
        <v>71</v>
      </c>
      <c r="J470" s="89" t="s">
        <v>5276</v>
      </c>
      <c r="K470" s="89" t="str">
        <f>"00048214"</f>
        <v>00048214</v>
      </c>
    </row>
    <row r="471" spans="1:11" x14ac:dyDescent="0.25">
      <c r="A471" s="148" t="s">
        <v>5283</v>
      </c>
      <c r="B471" s="149"/>
      <c r="C471" s="149"/>
      <c r="D471" s="143"/>
      <c r="E471" s="94">
        <f>SUM(E468:E470)</f>
        <v>56144</v>
      </c>
      <c r="F471" s="145"/>
      <c r="G471" s="145"/>
      <c r="H471" s="145"/>
      <c r="I471" s="145"/>
      <c r="J471" s="145"/>
      <c r="K471" s="145"/>
    </row>
    <row r="472" spans="1:11" ht="15.75" customHeight="1" x14ac:dyDescent="0.25">
      <c r="A472" s="146" t="s">
        <v>6244</v>
      </c>
      <c r="B472" s="146"/>
      <c r="C472" s="146"/>
      <c r="D472" s="146"/>
      <c r="E472" s="146"/>
      <c r="F472" s="146"/>
      <c r="G472" s="146"/>
      <c r="H472" s="146"/>
      <c r="I472" s="146"/>
      <c r="J472" s="146"/>
      <c r="K472" s="146"/>
    </row>
    <row r="473" spans="1:11" ht="28.5" x14ac:dyDescent="0.25">
      <c r="A473" s="88">
        <v>108</v>
      </c>
      <c r="B473" s="89" t="s">
        <v>12</v>
      </c>
      <c r="C473" s="25" t="s">
        <v>2</v>
      </c>
      <c r="D473" s="94">
        <v>5539000</v>
      </c>
      <c r="E473" s="89"/>
      <c r="F473" s="88">
        <v>7</v>
      </c>
      <c r="G473" s="89" t="s">
        <v>52</v>
      </c>
      <c r="H473" s="89"/>
      <c r="I473" s="89" t="s">
        <v>4696</v>
      </c>
      <c r="J473" s="89"/>
      <c r="K473" s="89" t="str">
        <f>"　"</f>
        <v>　</v>
      </c>
    </row>
    <row r="474" spans="1:11" ht="42.75" x14ac:dyDescent="0.25">
      <c r="A474" s="88">
        <v>108</v>
      </c>
      <c r="B474" s="89" t="s">
        <v>5290</v>
      </c>
      <c r="C474" s="25" t="s">
        <v>2</v>
      </c>
      <c r="D474" s="89"/>
      <c r="E474" s="94">
        <v>142056</v>
      </c>
      <c r="F474" s="88">
        <v>7</v>
      </c>
      <c r="G474" s="89" t="s">
        <v>5296</v>
      </c>
      <c r="H474" s="89" t="s">
        <v>5297</v>
      </c>
      <c r="I474" s="89" t="s">
        <v>4787</v>
      </c>
      <c r="J474" s="89" t="s">
        <v>5298</v>
      </c>
      <c r="K474" s="89" t="str">
        <f>"00048988"</f>
        <v>00048988</v>
      </c>
    </row>
    <row r="475" spans="1:11" ht="42.75" x14ac:dyDescent="0.25">
      <c r="A475" s="88">
        <v>108</v>
      </c>
      <c r="B475" s="89" t="s">
        <v>5290</v>
      </c>
      <c r="C475" s="25" t="s">
        <v>2</v>
      </c>
      <c r="D475" s="89"/>
      <c r="E475" s="94">
        <v>115048</v>
      </c>
      <c r="F475" s="88">
        <v>7</v>
      </c>
      <c r="G475" s="89" t="s">
        <v>5299</v>
      </c>
      <c r="H475" s="89" t="s">
        <v>5300</v>
      </c>
      <c r="I475" s="89" t="s">
        <v>4787</v>
      </c>
      <c r="J475" s="89" t="s">
        <v>5301</v>
      </c>
      <c r="K475" s="89" t="str">
        <f>"00050003"</f>
        <v>00050003</v>
      </c>
    </row>
    <row r="476" spans="1:11" ht="42.75" x14ac:dyDescent="0.25">
      <c r="A476" s="88">
        <v>108</v>
      </c>
      <c r="B476" s="89" t="s">
        <v>5290</v>
      </c>
      <c r="C476" s="25" t="s">
        <v>2</v>
      </c>
      <c r="D476" s="89"/>
      <c r="E476" s="94">
        <v>8956</v>
      </c>
      <c r="F476" s="88">
        <v>7</v>
      </c>
      <c r="G476" s="89" t="s">
        <v>5302</v>
      </c>
      <c r="H476" s="89" t="s">
        <v>5292</v>
      </c>
      <c r="I476" s="89" t="s">
        <v>5293</v>
      </c>
      <c r="J476" s="89" t="s">
        <v>5294</v>
      </c>
      <c r="K476" s="89" t="str">
        <f>"00050950"</f>
        <v>00050950</v>
      </c>
    </row>
    <row r="477" spans="1:11" ht="42.75" x14ac:dyDescent="0.25">
      <c r="A477" s="88">
        <v>108</v>
      </c>
      <c r="B477" s="89" t="s">
        <v>3815</v>
      </c>
      <c r="C477" s="25" t="s">
        <v>2</v>
      </c>
      <c r="D477" s="89"/>
      <c r="E477" s="94">
        <v>47357</v>
      </c>
      <c r="F477" s="88">
        <v>7</v>
      </c>
      <c r="G477" s="89" t="s">
        <v>5303</v>
      </c>
      <c r="H477" s="89" t="s">
        <v>5304</v>
      </c>
      <c r="I477" s="89" t="s">
        <v>4699</v>
      </c>
      <c r="J477" s="89" t="s">
        <v>5305</v>
      </c>
      <c r="K477" s="89" t="s">
        <v>6245</v>
      </c>
    </row>
    <row r="478" spans="1:11" ht="71.25" x14ac:dyDescent="0.25">
      <c r="A478" s="88">
        <v>108</v>
      </c>
      <c r="B478" s="89" t="s">
        <v>5306</v>
      </c>
      <c r="C478" s="25" t="s">
        <v>2</v>
      </c>
      <c r="D478" s="89"/>
      <c r="E478" s="94">
        <v>49023</v>
      </c>
      <c r="F478" s="88">
        <v>7</v>
      </c>
      <c r="G478" s="89" t="s">
        <v>5307</v>
      </c>
      <c r="H478" s="89" t="s">
        <v>1624</v>
      </c>
      <c r="I478" s="89" t="s">
        <v>4781</v>
      </c>
      <c r="J478" s="89" t="s">
        <v>5308</v>
      </c>
      <c r="K478" s="89" t="str">
        <f>"00050434"</f>
        <v>00050434</v>
      </c>
    </row>
    <row r="479" spans="1:11" ht="42.75" x14ac:dyDescent="0.25">
      <c r="A479" s="88">
        <v>108</v>
      </c>
      <c r="B479" s="89" t="s">
        <v>3815</v>
      </c>
      <c r="C479" s="25" t="s">
        <v>2</v>
      </c>
      <c r="D479" s="89"/>
      <c r="E479" s="94">
        <v>42138</v>
      </c>
      <c r="F479" s="88">
        <v>7</v>
      </c>
      <c r="G479" s="89" t="s">
        <v>5309</v>
      </c>
      <c r="H479" s="89" t="s">
        <v>5304</v>
      </c>
      <c r="I479" s="89" t="s">
        <v>5310</v>
      </c>
      <c r="J479" s="89" t="s">
        <v>5305</v>
      </c>
      <c r="K479" s="89" t="s">
        <v>6246</v>
      </c>
    </row>
    <row r="480" spans="1:11" s="4" customFormat="1" ht="42.75" x14ac:dyDescent="0.25">
      <c r="A480" s="88">
        <v>106</v>
      </c>
      <c r="B480" s="89" t="s">
        <v>5311</v>
      </c>
      <c r="C480" s="25" t="s">
        <v>2</v>
      </c>
      <c r="D480" s="89"/>
      <c r="E480" s="94">
        <v>-13074</v>
      </c>
      <c r="F480" s="88">
        <v>7</v>
      </c>
      <c r="G480" s="89" t="s">
        <v>5312</v>
      </c>
      <c r="H480" s="89" t="s">
        <v>5313</v>
      </c>
      <c r="I480" s="89" t="s">
        <v>5314</v>
      </c>
      <c r="J480" s="89" t="s">
        <v>5315</v>
      </c>
      <c r="K480" s="89" t="s">
        <v>5614</v>
      </c>
    </row>
    <row r="481" spans="1:11" s="4" customFormat="1" ht="42.75" x14ac:dyDescent="0.25">
      <c r="A481" s="88">
        <v>106</v>
      </c>
      <c r="B481" s="89" t="s">
        <v>5311</v>
      </c>
      <c r="C481" s="25" t="s">
        <v>2</v>
      </c>
      <c r="D481" s="89"/>
      <c r="E481" s="94">
        <v>-51437</v>
      </c>
      <c r="F481" s="88">
        <v>7</v>
      </c>
      <c r="G481" s="89" t="s">
        <v>5316</v>
      </c>
      <c r="H481" s="89" t="s">
        <v>5313</v>
      </c>
      <c r="I481" s="89" t="s">
        <v>5317</v>
      </c>
      <c r="J481" s="89" t="s">
        <v>5315</v>
      </c>
      <c r="K481" s="89" t="s">
        <v>5615</v>
      </c>
    </row>
    <row r="482" spans="1:11" x14ac:dyDescent="0.25">
      <c r="A482" s="148" t="s">
        <v>6247</v>
      </c>
      <c r="B482" s="149"/>
      <c r="C482" s="149"/>
      <c r="D482" s="149"/>
      <c r="E482" s="94">
        <f>SUM(E473:E481)</f>
        <v>340067</v>
      </c>
      <c r="F482" s="145"/>
      <c r="G482" s="145"/>
      <c r="H482" s="145"/>
      <c r="I482" s="145"/>
      <c r="J482" s="145"/>
      <c r="K482" s="145"/>
    </row>
    <row r="483" spans="1:11" ht="15.75" customHeight="1" x14ac:dyDescent="0.25">
      <c r="A483" s="146" t="s">
        <v>6249</v>
      </c>
      <c r="B483" s="146"/>
      <c r="C483" s="146"/>
      <c r="D483" s="146"/>
      <c r="E483" s="146"/>
      <c r="F483" s="146"/>
      <c r="G483" s="146"/>
      <c r="H483" s="146"/>
      <c r="I483" s="146"/>
      <c r="J483" s="146"/>
      <c r="K483" s="146"/>
    </row>
    <row r="484" spans="1:11" ht="28.5" x14ac:dyDescent="0.25">
      <c r="A484" s="88">
        <v>108</v>
      </c>
      <c r="B484" s="89" t="s">
        <v>12</v>
      </c>
      <c r="C484" s="25" t="s">
        <v>2</v>
      </c>
      <c r="D484" s="94">
        <v>5539000</v>
      </c>
      <c r="E484" s="89"/>
      <c r="F484" s="88">
        <v>7</v>
      </c>
      <c r="G484" s="89" t="s">
        <v>52</v>
      </c>
      <c r="H484" s="89"/>
      <c r="I484" s="89" t="s">
        <v>4696</v>
      </c>
      <c r="J484" s="89"/>
      <c r="K484" s="89" t="str">
        <f>"　"</f>
        <v>　</v>
      </c>
    </row>
    <row r="485" spans="1:11" ht="57" x14ac:dyDescent="0.25">
      <c r="A485" s="88">
        <v>108</v>
      </c>
      <c r="B485" s="89" t="s">
        <v>768</v>
      </c>
      <c r="C485" s="25" t="s">
        <v>2</v>
      </c>
      <c r="D485" s="89"/>
      <c r="E485" s="94">
        <v>28725</v>
      </c>
      <c r="F485" s="88">
        <v>7</v>
      </c>
      <c r="G485" s="89" t="s">
        <v>5326</v>
      </c>
      <c r="H485" s="89" t="s">
        <v>5327</v>
      </c>
      <c r="I485" s="89" t="s">
        <v>4721</v>
      </c>
      <c r="J485" s="89" t="s">
        <v>4282</v>
      </c>
      <c r="K485" s="89" t="s">
        <v>6248</v>
      </c>
    </row>
    <row r="486" spans="1:11" ht="57" x14ac:dyDescent="0.25">
      <c r="A486" s="88">
        <v>108</v>
      </c>
      <c r="B486" s="89" t="s">
        <v>768</v>
      </c>
      <c r="C486" s="25" t="s">
        <v>2</v>
      </c>
      <c r="D486" s="89"/>
      <c r="E486" s="94">
        <v>29739</v>
      </c>
      <c r="F486" s="88">
        <v>7</v>
      </c>
      <c r="G486" s="89" t="s">
        <v>5328</v>
      </c>
      <c r="H486" s="89" t="s">
        <v>5327</v>
      </c>
      <c r="I486" s="89" t="s">
        <v>4721</v>
      </c>
      <c r="J486" s="89" t="s">
        <v>4282</v>
      </c>
      <c r="K486" s="89" t="s">
        <v>6252</v>
      </c>
    </row>
    <row r="487" spans="1:11" x14ac:dyDescent="0.25">
      <c r="A487" s="148" t="s">
        <v>6250</v>
      </c>
      <c r="B487" s="149"/>
      <c r="C487" s="149"/>
      <c r="D487" s="149"/>
      <c r="E487" s="94">
        <f>SUM(E484:E486)</f>
        <v>58464</v>
      </c>
      <c r="F487" s="145"/>
      <c r="G487" s="145"/>
      <c r="H487" s="145"/>
      <c r="I487" s="145"/>
      <c r="J487" s="145"/>
      <c r="K487" s="145"/>
    </row>
    <row r="488" spans="1:11" ht="15.75" customHeight="1" x14ac:dyDescent="0.25">
      <c r="A488" s="146" t="s">
        <v>6251</v>
      </c>
      <c r="B488" s="146"/>
      <c r="C488" s="146"/>
      <c r="D488" s="146"/>
      <c r="E488" s="146"/>
      <c r="F488" s="146"/>
      <c r="G488" s="146"/>
      <c r="H488" s="146"/>
      <c r="I488" s="146"/>
      <c r="J488" s="146"/>
      <c r="K488" s="146"/>
    </row>
    <row r="489" spans="1:11" ht="28.5" x14ac:dyDescent="0.25">
      <c r="A489" s="88">
        <v>108</v>
      </c>
      <c r="B489" s="89" t="s">
        <v>12</v>
      </c>
      <c r="C489" s="25" t="s">
        <v>2</v>
      </c>
      <c r="D489" s="94">
        <v>5539000</v>
      </c>
      <c r="E489" s="89"/>
      <c r="F489" s="88">
        <v>7</v>
      </c>
      <c r="G489" s="89" t="s">
        <v>52</v>
      </c>
      <c r="H489" s="89"/>
      <c r="I489" s="89" t="s">
        <v>4696</v>
      </c>
      <c r="J489" s="89"/>
      <c r="K489" s="89" t="str">
        <f>"　"</f>
        <v>　</v>
      </c>
    </row>
    <row r="490" spans="1:11" ht="42.75" x14ac:dyDescent="0.25">
      <c r="A490" s="88">
        <v>108</v>
      </c>
      <c r="B490" s="89" t="s">
        <v>800</v>
      </c>
      <c r="C490" s="25" t="s">
        <v>2</v>
      </c>
      <c r="D490" s="89"/>
      <c r="E490" s="94">
        <v>73333</v>
      </c>
      <c r="F490" s="88">
        <v>7</v>
      </c>
      <c r="G490" s="89" t="s">
        <v>5334</v>
      </c>
      <c r="H490" s="89" t="s">
        <v>5335</v>
      </c>
      <c r="I490" s="89" t="s">
        <v>4699</v>
      </c>
      <c r="J490" s="89" t="s">
        <v>72</v>
      </c>
      <c r="K490" s="89" t="str">
        <f>"00049485"</f>
        <v>00049485</v>
      </c>
    </row>
    <row r="491" spans="1:11" ht="22.5" customHeight="1" x14ac:dyDescent="0.25">
      <c r="A491" s="148" t="s">
        <v>6253</v>
      </c>
      <c r="B491" s="149"/>
      <c r="C491" s="149"/>
      <c r="D491" s="149"/>
      <c r="E491" s="94">
        <f>SUM(E489:E490)</f>
        <v>73333</v>
      </c>
      <c r="F491" s="145"/>
      <c r="G491" s="145"/>
      <c r="H491" s="145"/>
      <c r="I491" s="145"/>
      <c r="J491" s="145"/>
      <c r="K491" s="145"/>
    </row>
    <row r="492" spans="1:11" ht="42.6" customHeight="1" x14ac:dyDescent="0.25">
      <c r="A492" s="164" t="s">
        <v>6278</v>
      </c>
      <c r="B492" s="164"/>
      <c r="C492" s="164"/>
      <c r="D492" s="73">
        <v>10820000</v>
      </c>
      <c r="E492" s="74">
        <v>12259195</v>
      </c>
      <c r="F492" s="165"/>
      <c r="G492" s="165"/>
      <c r="H492" s="165"/>
      <c r="I492" s="165"/>
      <c r="J492" s="165"/>
      <c r="K492" s="165"/>
    </row>
    <row r="493" spans="1:11" x14ac:dyDescent="0.25">
      <c r="A493" s="82"/>
      <c r="B493" s="8"/>
      <c r="C493" s="124"/>
      <c r="D493" s="8"/>
      <c r="E493" s="9"/>
      <c r="F493" s="61"/>
      <c r="G493" s="10"/>
      <c r="H493" s="10"/>
      <c r="I493" s="10"/>
      <c r="J493" s="10"/>
      <c r="K493" s="10"/>
    </row>
    <row r="496" spans="1:11" x14ac:dyDescent="0.25">
      <c r="G496" s="7"/>
    </row>
    <row r="498" spans="7:7" x14ac:dyDescent="0.25">
      <c r="G498" s="7"/>
    </row>
  </sheetData>
  <mergeCells count="170">
    <mergeCell ref="F335:K335"/>
    <mergeCell ref="A335:D335"/>
    <mergeCell ref="A342:K342"/>
    <mergeCell ref="F341:K341"/>
    <mergeCell ref="A366:D366"/>
    <mergeCell ref="G320:G322"/>
    <mergeCell ref="A488:K488"/>
    <mergeCell ref="F487:K487"/>
    <mergeCell ref="A3:K3"/>
    <mergeCell ref="A4:K4"/>
    <mergeCell ref="A444:K444"/>
    <mergeCell ref="F443:K443"/>
    <mergeCell ref="A450:K450"/>
    <mergeCell ref="F449:K449"/>
    <mergeCell ref="A460:K460"/>
    <mergeCell ref="F459:K459"/>
    <mergeCell ref="A466:D466"/>
    <mergeCell ref="A467:K467"/>
    <mergeCell ref="F466:K466"/>
    <mergeCell ref="A404:D404"/>
    <mergeCell ref="A405:K405"/>
    <mergeCell ref="F404:K404"/>
    <mergeCell ref="A414:K414"/>
    <mergeCell ref="A422:K422"/>
    <mergeCell ref="F289:K289"/>
    <mergeCell ref="A293:K293"/>
    <mergeCell ref="F292:K292"/>
    <mergeCell ref="A429:K429"/>
    <mergeCell ref="F428:K428"/>
    <mergeCell ref="A434:K434"/>
    <mergeCell ref="A295:D295"/>
    <mergeCell ref="A285:D285"/>
    <mergeCell ref="A367:K367"/>
    <mergeCell ref="F366:K366"/>
    <mergeCell ref="A375:D375"/>
    <mergeCell ref="A376:K376"/>
    <mergeCell ref="F375:K375"/>
    <mergeCell ref="J320:J322"/>
    <mergeCell ref="A392:D392"/>
    <mergeCell ref="F392:K392"/>
    <mergeCell ref="A296:K296"/>
    <mergeCell ref="F295:K295"/>
    <mergeCell ref="A299:K299"/>
    <mergeCell ref="F298:K298"/>
    <mergeCell ref="G302:K302"/>
    <mergeCell ref="A303:K303"/>
    <mergeCell ref="A304:K304"/>
    <mergeCell ref="A324:K324"/>
    <mergeCell ref="A127:K127"/>
    <mergeCell ref="F126:K126"/>
    <mergeCell ref="A134:K134"/>
    <mergeCell ref="F133:K133"/>
    <mergeCell ref="A155:K155"/>
    <mergeCell ref="F154:K154"/>
    <mergeCell ref="A185:K185"/>
    <mergeCell ref="F184:K184"/>
    <mergeCell ref="A192:K192"/>
    <mergeCell ref="A148:K148"/>
    <mergeCell ref="A184:D184"/>
    <mergeCell ref="A14:K14"/>
    <mergeCell ref="F13:K13"/>
    <mergeCell ref="F91:K91"/>
    <mergeCell ref="A99:K99"/>
    <mergeCell ref="F98:K98"/>
    <mergeCell ref="A112:K112"/>
    <mergeCell ref="F111:K111"/>
    <mergeCell ref="A117:K117"/>
    <mergeCell ref="F116:K116"/>
    <mergeCell ref="A13:D13"/>
    <mergeCell ref="A50:D50"/>
    <mergeCell ref="A46:D46"/>
    <mergeCell ref="A51:D51"/>
    <mergeCell ref="A58:D58"/>
    <mergeCell ref="A67:D67"/>
    <mergeCell ref="A492:C492"/>
    <mergeCell ref="F492:K492"/>
    <mergeCell ref="A258:D258"/>
    <mergeCell ref="A487:D487"/>
    <mergeCell ref="A281:D281"/>
    <mergeCell ref="A262:D262"/>
    <mergeCell ref="A491:D491"/>
    <mergeCell ref="A45:D45"/>
    <mergeCell ref="A278:D278"/>
    <mergeCell ref="A393:K393"/>
    <mergeCell ref="A449:D449"/>
    <mergeCell ref="A471:D471"/>
    <mergeCell ref="A482:D482"/>
    <mergeCell ref="A483:K483"/>
    <mergeCell ref="F482:K482"/>
    <mergeCell ref="A459:D459"/>
    <mergeCell ref="A472:K472"/>
    <mergeCell ref="F471:K471"/>
    <mergeCell ref="A147:D147"/>
    <mergeCell ref="A154:D154"/>
    <mergeCell ref="A116:D116"/>
    <mergeCell ref="A126:D126"/>
    <mergeCell ref="A68:K68"/>
    <mergeCell ref="A98:C98"/>
    <mergeCell ref="H320:H322"/>
    <mergeCell ref="I320:I322"/>
    <mergeCell ref="A292:D292"/>
    <mergeCell ref="A191:D191"/>
    <mergeCell ref="A210:D210"/>
    <mergeCell ref="A320:A322"/>
    <mergeCell ref="B320:B322"/>
    <mergeCell ref="A198:K198"/>
    <mergeCell ref="F197:K197"/>
    <mergeCell ref="F202:K202"/>
    <mergeCell ref="F210:K210"/>
    <mergeCell ref="A221:K221"/>
    <mergeCell ref="F220:K220"/>
    <mergeCell ref="A231:K231"/>
    <mergeCell ref="F230:K230"/>
    <mergeCell ref="A202:D202"/>
    <mergeCell ref="F271:K271"/>
    <mergeCell ref="A279:K279"/>
    <mergeCell ref="F278:K278"/>
    <mergeCell ref="A282:K282"/>
    <mergeCell ref="F281:K281"/>
    <mergeCell ref="A286:K286"/>
    <mergeCell ref="F285:K285"/>
    <mergeCell ref="A290:K290"/>
    <mergeCell ref="F433:K433"/>
    <mergeCell ref="F262:K262"/>
    <mergeCell ref="F323:K323"/>
    <mergeCell ref="A1:E1"/>
    <mergeCell ref="F1:F2"/>
    <mergeCell ref="G1:G2"/>
    <mergeCell ref="H1:H2"/>
    <mergeCell ref="I1:J1"/>
    <mergeCell ref="A91:D91"/>
    <mergeCell ref="A111:D111"/>
    <mergeCell ref="A133:D133"/>
    <mergeCell ref="A57:D57"/>
    <mergeCell ref="A203:K203"/>
    <mergeCell ref="A211:K211"/>
    <mergeCell ref="A302:D302"/>
    <mergeCell ref="F147:K147"/>
    <mergeCell ref="C320:C322"/>
    <mergeCell ref="D320:D322"/>
    <mergeCell ref="E320:E322"/>
    <mergeCell ref="A197:D197"/>
    <mergeCell ref="A413:D413"/>
    <mergeCell ref="A323:D323"/>
    <mergeCell ref="F191:K191"/>
    <mergeCell ref="K320:K322"/>
    <mergeCell ref="F491:K491"/>
    <mergeCell ref="A248:D248"/>
    <mergeCell ref="A271:D271"/>
    <mergeCell ref="A341:D341"/>
    <mergeCell ref="A336:K336"/>
    <mergeCell ref="A298:D298"/>
    <mergeCell ref="A220:D220"/>
    <mergeCell ref="A443:D443"/>
    <mergeCell ref="A433:D433"/>
    <mergeCell ref="F421:K421"/>
    <mergeCell ref="A421:D421"/>
    <mergeCell ref="A428:D428"/>
    <mergeCell ref="F320:F322"/>
    <mergeCell ref="A289:D289"/>
    <mergeCell ref="A242:K242"/>
    <mergeCell ref="F241:K241"/>
    <mergeCell ref="A230:D230"/>
    <mergeCell ref="A241:D241"/>
    <mergeCell ref="A249:K249"/>
    <mergeCell ref="F248:K248"/>
    <mergeCell ref="A259:K259"/>
    <mergeCell ref="F258:K258"/>
    <mergeCell ref="A263:K263"/>
    <mergeCell ref="A272:K272"/>
  </mergeCells>
  <phoneticPr fontId="3" type="noConversion"/>
  <printOptions horizontalCentered="1"/>
  <pageMargins left="0.98425196850393704" right="0.98425196850393704" top="0.6692913385826772" bottom="0.39370078740157483" header="0.15748031496062992" footer="0.23622047244094491"/>
  <pageSetup paperSize="9" scale="65" firstPageNumber="216" orientation="landscape" useFirstPageNumber="1" r:id="rId1"/>
  <headerFooter>
    <oddHeader>&amp;C中央研究院科學研究基金
赴大陸計畫執行情形報告表
中華民國108年度&amp;R
單位：新臺幣元</oddHeader>
    <oddFooter>第 &amp;P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108國外旅費決算表</vt:lpstr>
      <vt:lpstr>108大陸旅費決算表</vt:lpstr>
      <vt:lpstr>'108大陸旅費決算表'!Print_Area</vt:lpstr>
      <vt:lpstr>'108國外旅費決算表'!Print_Area</vt:lpstr>
      <vt:lpstr>'108國外旅費決算表'!Print_Titles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admin</cp:lastModifiedBy>
  <cp:lastPrinted>2020-03-31T06:08:00Z</cp:lastPrinted>
  <dcterms:created xsi:type="dcterms:W3CDTF">2020-01-13T11:48:52Z</dcterms:created>
  <dcterms:modified xsi:type="dcterms:W3CDTF">2020-04-06T03:06:29Z</dcterms:modified>
</cp:coreProperties>
</file>