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6955" windowHeight="11820"/>
  </bookViews>
  <sheets>
    <sheet name="109年國外旅費決算表" sheetId="2" r:id="rId1"/>
    <sheet name="109年大陸地區旅費決算表" sheetId="1" r:id="rId2"/>
  </sheets>
  <definedNames>
    <definedName name="_xlnm._FilterDatabase" localSheetId="1" hidden="1">'109年大陸地區旅費決算表'!$A$6:$K$82</definedName>
    <definedName name="_xlnm._FilterDatabase" localSheetId="0" hidden="1">'109年國外旅費決算表'!$A$6:$K$687</definedName>
    <definedName name="_xlnm.Print_Titles" localSheetId="1">'109年大陸地區旅費決算表'!$A:$K,'109年大陸地區旅費決算表'!$1:$6</definedName>
    <definedName name="_xlnm.Print_Titles" localSheetId="0">'109年國外旅費決算表'!$A:$K,'109年國外旅費決算表'!$1:$6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7" i="2" l="1"/>
  <c r="K686" i="2"/>
  <c r="K685" i="2"/>
  <c r="K684" i="2"/>
  <c r="K683" i="2"/>
  <c r="K682" i="2"/>
  <c r="K681" i="2"/>
  <c r="K680" i="2"/>
  <c r="K677" i="2"/>
  <c r="K675" i="2"/>
  <c r="K673" i="2"/>
  <c r="K671" i="2"/>
  <c r="K670" i="2"/>
  <c r="K669" i="2"/>
  <c r="K666" i="2"/>
  <c r="K665" i="2"/>
  <c r="K664" i="2"/>
  <c r="K663" i="2"/>
  <c r="K662" i="2"/>
  <c r="K660" i="2"/>
  <c r="K659" i="2"/>
  <c r="K658" i="2"/>
  <c r="K656" i="2"/>
  <c r="K655" i="2"/>
  <c r="K653" i="2"/>
  <c r="K652" i="2"/>
  <c r="K650" i="2"/>
  <c r="K649" i="2"/>
  <c r="K648" i="2"/>
  <c r="K647" i="2"/>
  <c r="K646" i="2"/>
  <c r="K645" i="2"/>
  <c r="K644" i="2"/>
  <c r="K643" i="2"/>
  <c r="K642" i="2"/>
  <c r="K641" i="2"/>
  <c r="K640" i="2"/>
  <c r="K639" i="2"/>
  <c r="K638" i="2"/>
  <c r="K637" i="2"/>
  <c r="K636" i="2"/>
  <c r="K635" i="2"/>
  <c r="K634" i="2"/>
  <c r="K633" i="2"/>
  <c r="K632" i="2"/>
  <c r="K631" i="2"/>
  <c r="K630" i="2"/>
  <c r="K628" i="2"/>
  <c r="K627" i="2"/>
  <c r="K626" i="2"/>
  <c r="K624" i="2"/>
  <c r="K623" i="2"/>
  <c r="K622" i="2"/>
  <c r="K621" i="2"/>
  <c r="K620" i="2"/>
  <c r="K619" i="2"/>
  <c r="K617" i="2"/>
  <c r="K616" i="2"/>
  <c r="K613" i="2"/>
  <c r="K611" i="2"/>
  <c r="K609" i="2"/>
  <c r="K608" i="2"/>
  <c r="K606" i="2"/>
  <c r="K605" i="2"/>
  <c r="K603" i="2"/>
  <c r="K601" i="2"/>
  <c r="K600" i="2"/>
  <c r="K599" i="2"/>
  <c r="K598" i="2"/>
  <c r="K596" i="2"/>
  <c r="K594" i="2"/>
  <c r="K593" i="2"/>
  <c r="K591" i="2"/>
  <c r="K590" i="2"/>
  <c r="K589" i="2"/>
  <c r="K588" i="2"/>
  <c r="K587" i="2"/>
  <c r="K586" i="2"/>
  <c r="K585" i="2"/>
  <c r="K584" i="2"/>
  <c r="K582" i="2"/>
  <c r="K580" i="2"/>
  <c r="K579" i="2"/>
  <c r="K576" i="2"/>
  <c r="K574" i="2"/>
  <c r="K568" i="2"/>
  <c r="K566" i="2"/>
  <c r="K564" i="2"/>
  <c r="K562" i="2"/>
  <c r="K560" i="2"/>
  <c r="K558" i="2"/>
  <c r="K556" i="2"/>
  <c r="K554" i="2"/>
  <c r="K552" i="2"/>
  <c r="K550" i="2"/>
  <c r="K548" i="2"/>
  <c r="K546" i="2"/>
  <c r="K544" i="2"/>
  <c r="K543" i="2"/>
  <c r="K542" i="2"/>
  <c r="K540" i="2"/>
  <c r="K538" i="2"/>
  <c r="K537" i="2"/>
  <c r="K536" i="2"/>
  <c r="K535" i="2"/>
  <c r="K533" i="2"/>
  <c r="K532" i="2"/>
  <c r="K531" i="2"/>
  <c r="K530" i="2"/>
  <c r="K529" i="2"/>
  <c r="K528" i="2"/>
  <c r="K527" i="2"/>
  <c r="K526" i="2"/>
  <c r="K525" i="2"/>
  <c r="K524" i="2"/>
  <c r="K522" i="2"/>
  <c r="K521" i="2"/>
  <c r="K519" i="2"/>
  <c r="K517" i="2"/>
  <c r="K515" i="2"/>
  <c r="K514" i="2"/>
  <c r="K513" i="2"/>
  <c r="K512" i="2"/>
  <c r="K511" i="2"/>
  <c r="K510" i="2"/>
  <c r="K509" i="2"/>
  <c r="K508" i="2"/>
  <c r="K507" i="2"/>
  <c r="K506" i="2"/>
  <c r="K505" i="2"/>
  <c r="K504" i="2"/>
  <c r="K502" i="2"/>
  <c r="K500" i="2"/>
  <c r="K498" i="2"/>
  <c r="K496" i="2"/>
  <c r="K494" i="2"/>
  <c r="K492" i="2"/>
  <c r="K491" i="2"/>
  <c r="K489" i="2"/>
  <c r="K487" i="2"/>
  <c r="K485" i="2"/>
  <c r="K483" i="2"/>
  <c r="K482" i="2"/>
  <c r="K480" i="2"/>
  <c r="K478" i="2"/>
  <c r="K476" i="2"/>
  <c r="K474" i="2"/>
  <c r="K472" i="2"/>
  <c r="K471" i="2"/>
  <c r="K469" i="2"/>
  <c r="K467" i="2"/>
  <c r="K465" i="2"/>
  <c r="K464" i="2"/>
  <c r="K463" i="2"/>
  <c r="K461" i="2"/>
  <c r="K458" i="2"/>
  <c r="K457" i="2"/>
  <c r="K456" i="2"/>
  <c r="K455" i="2"/>
  <c r="K453" i="2"/>
  <c r="K452" i="2"/>
  <c r="K451" i="2"/>
  <c r="K450" i="2"/>
  <c r="K448" i="2"/>
  <c r="K446" i="2"/>
  <c r="K444" i="2"/>
  <c r="K442" i="2"/>
  <c r="K440" i="2"/>
  <c r="K438" i="2"/>
  <c r="K436" i="2"/>
  <c r="K434" i="2"/>
  <c r="K432" i="2"/>
  <c r="K430" i="2"/>
  <c r="K427" i="2"/>
  <c r="K426" i="2"/>
  <c r="K425" i="2"/>
  <c r="K424" i="2"/>
  <c r="K423" i="2"/>
  <c r="K421" i="2"/>
  <c r="K419" i="2"/>
  <c r="K418" i="2"/>
  <c r="K416" i="2"/>
  <c r="K414" i="2"/>
  <c r="K412" i="2"/>
  <c r="K411" i="2"/>
  <c r="K410" i="2"/>
  <c r="K409" i="2"/>
  <c r="K408" i="2"/>
  <c r="K406" i="2"/>
  <c r="K404" i="2"/>
  <c r="K403" i="2"/>
  <c r="K402" i="2"/>
  <c r="K401" i="2"/>
  <c r="K400" i="2"/>
  <c r="K399" i="2"/>
  <c r="K398" i="2"/>
  <c r="K397" i="2"/>
  <c r="K396" i="2"/>
  <c r="K395" i="2"/>
  <c r="K393" i="2"/>
  <c r="K392" i="2"/>
  <c r="K391" i="2"/>
  <c r="K390" i="2"/>
  <c r="K387" i="2"/>
  <c r="K386" i="2"/>
  <c r="K384" i="2"/>
  <c r="K374" i="2"/>
  <c r="K370" i="2"/>
  <c r="K369" i="2"/>
  <c r="K368" i="2"/>
  <c r="K367" i="2"/>
  <c r="K366" i="2"/>
  <c r="K365" i="2"/>
  <c r="K364" i="2"/>
  <c r="K363" i="2"/>
  <c r="K362" i="2"/>
  <c r="K361" i="2"/>
  <c r="K358" i="2"/>
  <c r="K357" i="2"/>
  <c r="K352" i="2"/>
  <c r="K351" i="2"/>
  <c r="K350" i="2"/>
  <c r="K349" i="2"/>
  <c r="K346" i="2"/>
  <c r="K345" i="2"/>
  <c r="K342" i="2"/>
  <c r="K340" i="2"/>
  <c r="K338" i="2"/>
  <c r="K336" i="2"/>
  <c r="K332" i="2"/>
  <c r="K328" i="2"/>
  <c r="K326" i="2"/>
  <c r="K324" i="2"/>
  <c r="K322" i="2"/>
  <c r="K320" i="2"/>
  <c r="K318" i="2"/>
  <c r="K316" i="2"/>
  <c r="K314" i="2"/>
  <c r="K312" i="2"/>
  <c r="K310" i="2"/>
  <c r="K308" i="2"/>
  <c r="K306" i="2"/>
  <c r="K304" i="2"/>
  <c r="K302" i="2"/>
  <c r="K300" i="2"/>
  <c r="K298" i="2"/>
  <c r="K297" i="2"/>
  <c r="K295" i="2"/>
  <c r="K293" i="2"/>
  <c r="K291" i="2"/>
  <c r="K289" i="2"/>
  <c r="K287" i="2"/>
  <c r="K285" i="2"/>
  <c r="K283" i="2"/>
  <c r="K281" i="2"/>
  <c r="K280" i="2"/>
  <c r="K278" i="2"/>
  <c r="K275" i="2"/>
  <c r="K273" i="2"/>
  <c r="K271" i="2"/>
  <c r="K270" i="2"/>
  <c r="K268" i="2"/>
  <c r="K267" i="2"/>
  <c r="K266" i="2"/>
  <c r="K265" i="2"/>
  <c r="K264" i="2"/>
  <c r="K263" i="2"/>
  <c r="K262" i="2"/>
  <c r="K261" i="2"/>
  <c r="K259" i="2"/>
  <c r="K257" i="2"/>
  <c r="K255" i="2"/>
  <c r="K254" i="2"/>
  <c r="K253" i="2"/>
  <c r="K252" i="2"/>
  <c r="K250" i="2"/>
  <c r="K248" i="2"/>
  <c r="K246" i="2"/>
  <c r="K245" i="2"/>
  <c r="K244" i="2"/>
  <c r="K243" i="2"/>
  <c r="K242" i="2"/>
  <c r="K240" i="2"/>
  <c r="K239" i="2"/>
  <c r="K238" i="2"/>
  <c r="K237" i="2"/>
  <c r="K236" i="2"/>
  <c r="K234" i="2"/>
  <c r="K232" i="2"/>
  <c r="K231" i="2"/>
  <c r="K230" i="2"/>
  <c r="K228" i="2"/>
  <c r="K227" i="2"/>
  <c r="K225" i="2"/>
  <c r="K224" i="2"/>
  <c r="K223" i="2"/>
  <c r="K222" i="2"/>
  <c r="K221" i="2"/>
  <c r="K220" i="2"/>
  <c r="K219" i="2"/>
  <c r="K218" i="2"/>
  <c r="K217" i="2"/>
  <c r="K216" i="2"/>
  <c r="K215" i="2"/>
  <c r="K213" i="2"/>
  <c r="K211" i="2"/>
  <c r="K209" i="2"/>
  <c r="K207" i="2"/>
  <c r="K205" i="2"/>
  <c r="K204" i="2"/>
  <c r="K202" i="2"/>
  <c r="K200" i="2"/>
  <c r="K198" i="2"/>
  <c r="K197" i="2"/>
  <c r="K196" i="2"/>
  <c r="K194" i="2"/>
  <c r="K192" i="2"/>
  <c r="K191" i="2"/>
  <c r="K189" i="2"/>
  <c r="K187" i="2"/>
  <c r="K186" i="2"/>
  <c r="K184" i="2"/>
  <c r="K183" i="2"/>
  <c r="K182" i="2"/>
  <c r="K180" i="2"/>
  <c r="K179" i="2"/>
  <c r="K177" i="2"/>
  <c r="K175" i="2"/>
  <c r="K174" i="2"/>
  <c r="K173" i="2"/>
  <c r="K171" i="2"/>
  <c r="K169" i="2"/>
  <c r="K168" i="2"/>
  <c r="K166" i="2"/>
  <c r="K164" i="2"/>
  <c r="K162" i="2"/>
  <c r="K160" i="2"/>
  <c r="K158" i="2"/>
  <c r="K157" i="2"/>
  <c r="K155" i="2"/>
  <c r="K153" i="2"/>
  <c r="K151" i="2"/>
  <c r="K149" i="2"/>
  <c r="K148" i="2"/>
  <c r="K147" i="2"/>
  <c r="K146" i="2"/>
  <c r="K145" i="2"/>
  <c r="K144" i="2"/>
  <c r="K143" i="2"/>
  <c r="K142" i="2"/>
  <c r="K141" i="2"/>
  <c r="K140" i="2"/>
  <c r="K139" i="2"/>
  <c r="K138" i="2"/>
  <c r="K137" i="2"/>
  <c r="K136" i="2"/>
  <c r="K135" i="2"/>
  <c r="K134" i="2"/>
  <c r="K133" i="2"/>
  <c r="K132" i="2"/>
  <c r="K131" i="2"/>
  <c r="K130" i="2"/>
  <c r="K129" i="2"/>
  <c r="K126" i="2"/>
  <c r="K123" i="2"/>
  <c r="K120" i="2"/>
  <c r="K117" i="2"/>
  <c r="K114" i="2"/>
  <c r="K112" i="2"/>
  <c r="K110" i="2"/>
  <c r="K108" i="2"/>
  <c r="K107" i="2"/>
  <c r="K106" i="2"/>
  <c r="K105" i="2"/>
  <c r="K104" i="2"/>
  <c r="K103" i="2"/>
  <c r="K102" i="2"/>
  <c r="K101" i="2"/>
  <c r="K100" i="2"/>
  <c r="K99" i="2"/>
  <c r="K97" i="2"/>
  <c r="K95" i="2"/>
  <c r="K94" i="2"/>
  <c r="K92" i="2"/>
  <c r="K90" i="2"/>
  <c r="K88" i="2"/>
  <c r="K86" i="2"/>
  <c r="K84" i="2"/>
  <c r="K82" i="2"/>
  <c r="K80" i="2"/>
  <c r="K78" i="2"/>
  <c r="K76" i="2"/>
  <c r="K74" i="2"/>
  <c r="K72" i="2"/>
  <c r="K70" i="2"/>
  <c r="K69" i="2"/>
  <c r="K67" i="2"/>
  <c r="K65" i="2"/>
  <c r="K63" i="2"/>
  <c r="K61" i="2"/>
  <c r="K59" i="2"/>
  <c r="K57" i="2"/>
  <c r="K55" i="2"/>
  <c r="K53" i="2"/>
  <c r="K51" i="2"/>
  <c r="K50" i="2"/>
  <c r="K48" i="2"/>
  <c r="K46" i="2"/>
  <c r="K44" i="2"/>
  <c r="K42" i="2"/>
  <c r="K40" i="2"/>
  <c r="K39" i="2"/>
  <c r="K37" i="2"/>
  <c r="K36" i="2"/>
  <c r="K35" i="2"/>
  <c r="K34" i="2"/>
  <c r="K23" i="2"/>
  <c r="K22" i="2"/>
  <c r="K21" i="2"/>
  <c r="K20" i="2"/>
  <c r="K18" i="2"/>
  <c r="K16" i="2"/>
  <c r="K15" i="2"/>
  <c r="K14" i="2"/>
  <c r="K13" i="2"/>
  <c r="K12" i="2"/>
  <c r="K11" i="2"/>
  <c r="K10" i="2"/>
  <c r="K9" i="2"/>
  <c r="K8" i="2"/>
  <c r="E82" i="1"/>
  <c r="K39" i="1"/>
</calcChain>
</file>

<file path=xl/sharedStrings.xml><?xml version="1.0" encoding="utf-8"?>
<sst xmlns="http://schemas.openxmlformats.org/spreadsheetml/2006/main" count="3180" uniqueCount="1320">
  <si>
    <t>中央研究院科學研究基金</t>
    <phoneticPr fontId="4" type="noConversion"/>
  </si>
  <si>
    <t>赴大陸地區計畫執行情形報告表</t>
    <phoneticPr fontId="4" type="noConversion"/>
  </si>
  <si>
    <t>經費來源</t>
    <phoneticPr fontId="4" type="noConversion"/>
  </si>
  <si>
    <t>出國類別</t>
    <phoneticPr fontId="4" type="noConversion"/>
  </si>
  <si>
    <t>出國計畫名稱及內容簡述</t>
  </si>
  <si>
    <t>起迄日期</t>
    <phoneticPr fontId="4" type="noConversion"/>
  </si>
  <si>
    <t>地點</t>
    <phoneticPr fontId="4" type="noConversion"/>
  </si>
  <si>
    <t>年度別</t>
    <phoneticPr fontId="4" type="noConversion"/>
  </si>
  <si>
    <t>工作計畫</t>
  </si>
  <si>
    <t>用途別科目(二級)</t>
  </si>
  <si>
    <t>預算(保留)金額</t>
  </si>
  <si>
    <t>決算金額(含保留數)</t>
  </si>
  <si>
    <t>國家</t>
  </si>
  <si>
    <t>城市</t>
  </si>
  <si>
    <t>備註</t>
  </si>
  <si>
    <r>
      <rPr>
        <sz val="10"/>
        <color indexed="8"/>
        <rFont val="新細明體"/>
        <family val="1"/>
        <charset val="136"/>
      </rPr>
      <t>訪問</t>
    </r>
  </si>
  <si>
    <r>
      <rPr>
        <sz val="10"/>
        <color indexed="8"/>
        <rFont val="新細明體"/>
        <family val="1"/>
        <charset val="136"/>
      </rPr>
      <t>研發能量提升計畫</t>
    </r>
  </si>
  <si>
    <r>
      <rPr>
        <sz val="10"/>
        <color indexed="8"/>
        <rFont val="新細明體"/>
        <family val="1"/>
        <charset val="136"/>
      </rPr>
      <t>大陸地區旅費</t>
    </r>
  </si>
  <si>
    <r>
      <rPr>
        <sz val="10"/>
        <color indexed="8"/>
        <rFont val="新細明體"/>
        <family val="1"/>
        <charset val="136"/>
      </rPr>
      <t>中研院南部院區鋰電池儲能系統開發與新世代全固態電池材料研發計畫</t>
    </r>
  </si>
  <si>
    <r>
      <rPr>
        <sz val="10"/>
        <color indexed="8"/>
        <rFont val="新細明體"/>
        <family val="1"/>
        <charset val="136"/>
      </rPr>
      <t>大陸地區</t>
    </r>
  </si>
  <si>
    <t>因COVID-19疫情嚴峻，活動取消或不克前往</t>
    <phoneticPr fontId="4" type="noConversion"/>
  </si>
  <si>
    <r>
      <rPr>
        <sz val="10"/>
        <color indexed="8"/>
        <rFont val="新細明體"/>
        <family val="1"/>
        <charset val="136"/>
      </rPr>
      <t>科研環境領航計畫</t>
    </r>
  </si>
  <si>
    <r>
      <rPr>
        <sz val="10"/>
        <color indexed="8"/>
        <rFont val="新細明體"/>
        <family val="1"/>
        <charset val="136"/>
      </rPr>
      <t>高階分析儀器的自研自製與自用計畫</t>
    </r>
  </si>
  <si>
    <r>
      <rPr>
        <sz val="10"/>
        <color indexed="8"/>
        <rFont val="新細明體"/>
        <family val="1"/>
        <charset val="136"/>
      </rPr>
      <t>開會</t>
    </r>
  </si>
  <si>
    <r>
      <rPr>
        <sz val="10"/>
        <color indexed="8"/>
        <rFont val="新細明體"/>
        <family val="1"/>
        <charset val="136"/>
      </rPr>
      <t>接受補助或委託計畫</t>
    </r>
  </si>
  <si>
    <r>
      <rPr>
        <sz val="10"/>
        <color indexed="8"/>
        <rFont val="新細明體"/>
        <family val="1"/>
        <charset val="136"/>
      </rPr>
      <t>　</t>
    </r>
  </si>
  <si>
    <r>
      <rPr>
        <sz val="10"/>
        <color indexed="8"/>
        <rFont val="新細明體"/>
        <family val="1"/>
        <charset val="136"/>
      </rPr>
      <t>碰撞機、宇宙學、及引力學之非平衡物理</t>
    </r>
    <r>
      <rPr>
        <sz val="10"/>
        <color indexed="8"/>
        <rFont val="Calibri"/>
        <family val="2"/>
      </rPr>
      <t>-</t>
    </r>
    <r>
      <rPr>
        <sz val="10"/>
        <color indexed="8"/>
        <rFont val="新細明體"/>
        <family val="1"/>
        <charset val="136"/>
      </rPr>
      <t>宇宙暴脹的</t>
    </r>
    <r>
      <rPr>
        <sz val="10"/>
        <color indexed="8"/>
        <rFont val="Calibri"/>
        <family val="2"/>
      </rPr>
      <t>?</t>
    </r>
    <r>
      <rPr>
        <sz val="10"/>
        <color indexed="8"/>
        <rFont val="新細明體"/>
        <family val="1"/>
        <charset val="136"/>
      </rPr>
      <t>咫</t>
    </r>
    <r>
      <rPr>
        <sz val="10"/>
        <color indexed="8"/>
        <rFont val="Calibri"/>
        <family val="2"/>
      </rPr>
      <t>O</t>
    </r>
    <r>
      <rPr>
        <sz val="10"/>
        <color indexed="8"/>
        <rFont val="新細明體"/>
        <family val="1"/>
        <charset val="136"/>
      </rPr>
      <t>波</t>
    </r>
    <r>
      <rPr>
        <sz val="10"/>
        <color indexed="8"/>
        <rFont val="Calibri"/>
        <family val="2"/>
      </rPr>
      <t>_107-2119-M-001-030-</t>
    </r>
  </si>
  <si>
    <r>
      <rPr>
        <sz val="10"/>
        <color indexed="8"/>
        <rFont val="新細明體"/>
        <family val="1"/>
        <charset val="136"/>
      </rPr>
      <t>出席國際學術研究會暨發表專題演講。</t>
    </r>
  </si>
  <si>
    <t>109/01/08-109/01/11</t>
  </si>
  <si>
    <r>
      <rPr>
        <sz val="10"/>
        <color indexed="8"/>
        <rFont val="新細明體"/>
        <family val="1"/>
        <charset val="136"/>
      </rPr>
      <t>香港</t>
    </r>
  </si>
  <si>
    <r>
      <rPr>
        <sz val="10"/>
        <color indexed="8"/>
        <rFont val="新細明體"/>
        <family val="1"/>
        <charset val="136"/>
      </rPr>
      <t>香港</t>
    </r>
    <r>
      <rPr>
        <sz val="10"/>
        <color indexed="8"/>
        <rFont val="Calibri"/>
        <family val="2"/>
      </rPr>
      <t>(Hong Kong)</t>
    </r>
  </si>
  <si>
    <t>00053389</t>
  </si>
  <si>
    <t>報告於結案時一併繳交</t>
    <phoneticPr fontId="4" type="noConversion"/>
  </si>
  <si>
    <r>
      <rPr>
        <sz val="10"/>
        <color indexed="8"/>
        <rFont val="新細明體"/>
        <family val="1"/>
        <charset val="136"/>
      </rPr>
      <t>複雜氧化物與甘油之亞兆赫聲學特性</t>
    </r>
    <r>
      <rPr>
        <sz val="10"/>
        <color indexed="8"/>
        <rFont val="Calibri"/>
        <family val="2"/>
      </rPr>
      <t>_108-2112-M-001-027-</t>
    </r>
  </si>
  <si>
    <r>
      <rPr>
        <sz val="10"/>
        <color indexed="8"/>
        <rFont val="新細明體"/>
        <family val="1"/>
        <charset val="136"/>
      </rPr>
      <t>出席</t>
    </r>
    <r>
      <rPr>
        <sz val="10"/>
        <color indexed="8"/>
        <rFont val="Calibri"/>
        <family val="2"/>
      </rPr>
      <t>the 11th Asian Conference on Ultrafast Phenomena (ACUP 2020)</t>
    </r>
    <r>
      <rPr>
        <sz val="10"/>
        <color indexed="8"/>
        <rFont val="新細明體"/>
        <family val="1"/>
        <charset val="136"/>
      </rPr>
      <t>會議並給予演講</t>
    </r>
  </si>
  <si>
    <t>109/01/12-109/01/15</t>
  </si>
  <si>
    <r>
      <rPr>
        <sz val="10"/>
        <color indexed="8"/>
        <rFont val="新細明體"/>
        <family val="1"/>
        <charset val="136"/>
      </rPr>
      <t>上海市</t>
    </r>
  </si>
  <si>
    <r>
      <rPr>
        <sz val="10"/>
        <color indexed="8"/>
        <rFont val="新細明體"/>
        <family val="1"/>
        <charset val="136"/>
      </rPr>
      <t>上海</t>
    </r>
    <r>
      <rPr>
        <sz val="10"/>
        <color indexed="8"/>
        <rFont val="Calibri"/>
        <family val="2"/>
      </rPr>
      <t>(Shanghai)</t>
    </r>
  </si>
  <si>
    <t>00053256</t>
  </si>
  <si>
    <r>
      <rPr>
        <sz val="10"/>
        <color indexed="8"/>
        <rFont val="新細明體"/>
        <family val="1"/>
        <charset val="136"/>
      </rPr>
      <t>報告於結案時一併繳交</t>
    </r>
    <phoneticPr fontId="4" type="noConversion"/>
  </si>
  <si>
    <t>出席國際學術研究會暨發表學術論文演講。</t>
    <phoneticPr fontId="4" type="noConversion"/>
  </si>
  <si>
    <t>109/01/19-109/01/28</t>
  </si>
  <si>
    <t>00053390</t>
  </si>
  <si>
    <r>
      <rPr>
        <sz val="10"/>
        <color indexed="8"/>
        <rFont val="新細明體"/>
        <family val="1"/>
        <charset val="136"/>
      </rPr>
      <t>補助擔任世界計算語言學協會亞太分會備位主席，所出席國際學術會議活動所需之相關經費</t>
    </r>
    <r>
      <rPr>
        <sz val="10"/>
        <color indexed="8"/>
        <rFont val="Calibri"/>
        <family val="2"/>
      </rPr>
      <t>:</t>
    </r>
    <r>
      <rPr>
        <sz val="10"/>
        <color indexed="8"/>
        <rFont val="新細明體"/>
        <family val="1"/>
        <charset val="136"/>
      </rPr>
      <t>註冊費、出差旅費及學會年費</t>
    </r>
    <r>
      <rPr>
        <sz val="10"/>
        <color indexed="8"/>
        <rFont val="Calibri"/>
        <family val="2"/>
      </rPr>
      <t>(2/2)_109-2926-I-001-503</t>
    </r>
  </si>
  <si>
    <r>
      <t>(P20043)</t>
    </r>
    <r>
      <rPr>
        <sz val="10"/>
        <color indexed="8"/>
        <rFont val="新細明體"/>
        <family val="1"/>
        <charset val="136"/>
      </rPr>
      <t>補助擔任世界計算語言學協會亞太分會備位主席，所出席國際學術會議活動所需之相關經費</t>
    </r>
    <r>
      <rPr>
        <sz val="10"/>
        <color indexed="8"/>
        <rFont val="Calibri"/>
        <family val="2"/>
      </rPr>
      <t>:</t>
    </r>
    <r>
      <rPr>
        <sz val="10"/>
        <color indexed="8"/>
        <rFont val="新細明體"/>
        <family val="1"/>
        <charset val="136"/>
      </rPr>
      <t>註冊費、出差旅費及學會年費</t>
    </r>
    <r>
      <rPr>
        <sz val="10"/>
        <color indexed="8"/>
        <rFont val="Calibri"/>
        <family val="2"/>
      </rPr>
      <t>(2/2)</t>
    </r>
  </si>
  <si>
    <t>109/12/04-109/12/07</t>
  </si>
  <si>
    <r>
      <rPr>
        <sz val="10"/>
        <color indexed="8"/>
        <rFont val="新細明體"/>
        <family val="1"/>
        <charset val="136"/>
      </rPr>
      <t>江蘇</t>
    </r>
  </si>
  <si>
    <r>
      <rPr>
        <sz val="10"/>
        <color indexed="8"/>
        <rFont val="新細明體"/>
        <family val="1"/>
        <charset val="136"/>
      </rPr>
      <t>蘇州</t>
    </r>
    <r>
      <rPr>
        <sz val="10"/>
        <color indexed="8"/>
        <rFont val="Calibri"/>
        <family val="2"/>
      </rPr>
      <t>(Suzhou)</t>
    </r>
  </si>
  <si>
    <t>00054517</t>
  </si>
  <si>
    <r>
      <rPr>
        <sz val="10"/>
        <color indexed="8"/>
        <rFont val="新細明體"/>
        <family val="1"/>
        <charset val="136"/>
      </rPr>
      <t>計畫未結案併期末報告一併繳交</t>
    </r>
    <phoneticPr fontId="4" type="noConversion"/>
  </si>
  <si>
    <t>109-2914-I-001-001-A1_ASP-DAC 2020</t>
  </si>
  <si>
    <t>S20001_109-2914-I-001-001-A1_ASP-DAC 2020</t>
    <phoneticPr fontId="4" type="noConversion"/>
  </si>
  <si>
    <t>109/01/12-109/01/17</t>
  </si>
  <si>
    <r>
      <rPr>
        <sz val="10"/>
        <color indexed="8"/>
        <rFont val="新細明體"/>
        <family val="1"/>
        <charset val="136"/>
      </rPr>
      <t>北京市</t>
    </r>
  </si>
  <si>
    <r>
      <rPr>
        <sz val="10"/>
        <color indexed="8"/>
        <rFont val="新細明體"/>
        <family val="1"/>
        <charset val="136"/>
      </rPr>
      <t>北京</t>
    </r>
    <r>
      <rPr>
        <sz val="10"/>
        <color indexed="8"/>
        <rFont val="Calibri"/>
        <family val="2"/>
      </rPr>
      <t>(Beijing)</t>
    </r>
  </si>
  <si>
    <t>00053309</t>
  </si>
  <si>
    <r>
      <rPr>
        <sz val="10"/>
        <color indexed="8"/>
        <rFont val="新細明體"/>
        <family val="1"/>
        <charset val="136"/>
      </rPr>
      <t>參加第八屆亞洲暨大洋洲質譜學會會議</t>
    </r>
    <r>
      <rPr>
        <sz val="10"/>
        <color indexed="8"/>
        <rFont val="Calibri"/>
        <family val="2"/>
      </rPr>
      <t xml:space="preserve"> 8th ASIA-OCEANIA MASS SPECTROMETRY CONFERENCE (AOMSC) 2020</t>
    </r>
  </si>
  <si>
    <r>
      <rPr>
        <sz val="10"/>
        <color indexed="8"/>
        <rFont val="新細明體"/>
        <family val="1"/>
        <charset val="136"/>
      </rPr>
      <t>利用數據非依賴型擷取方式探討番茄遭受病害後之蛋白質變化，以壁報方式展示研究結果並與各國與會人士進行研究經驗交流。除大會會議安排演講日程外，也將參加廠商使用者說明推廣會等活動。</t>
    </r>
  </si>
  <si>
    <t>109/01/04-109/01/09</t>
  </si>
  <si>
    <r>
      <rPr>
        <sz val="10"/>
        <color indexed="8"/>
        <rFont val="新細明體"/>
        <family val="1"/>
        <charset val="136"/>
      </rPr>
      <t>澳門</t>
    </r>
  </si>
  <si>
    <r>
      <rPr>
        <sz val="10"/>
        <color indexed="8"/>
        <rFont val="新細明體"/>
        <family val="1"/>
        <charset val="136"/>
      </rPr>
      <t>澳門</t>
    </r>
    <r>
      <rPr>
        <sz val="10"/>
        <color indexed="8"/>
        <rFont val="Calibri"/>
        <family val="2"/>
      </rPr>
      <t>(Macau)</t>
    </r>
  </si>
  <si>
    <t>00053395</t>
  </si>
  <si>
    <r>
      <rPr>
        <sz val="10"/>
        <color indexed="8"/>
        <rFont val="新細明體"/>
        <family val="1"/>
        <charset val="136"/>
      </rPr>
      <t>由蛋白質體學會捐贈陳逸然老師</t>
    </r>
    <r>
      <rPr>
        <sz val="10"/>
        <color indexed="8"/>
        <rFont val="Calibri"/>
        <family val="2"/>
      </rPr>
      <t>Lab</t>
    </r>
    <r>
      <rPr>
        <sz val="10"/>
        <color indexed="8"/>
        <rFont val="新細明體"/>
        <family val="1"/>
        <charset val="136"/>
      </rPr>
      <t>研究經費補助</t>
    </r>
    <phoneticPr fontId="4" type="noConversion"/>
  </si>
  <si>
    <r>
      <t>9999_</t>
    </r>
    <r>
      <rPr>
        <sz val="10"/>
        <color indexed="8"/>
        <rFont val="新細明體"/>
        <family val="1"/>
        <charset val="136"/>
      </rPr>
      <t>計畫結餘款再運用</t>
    </r>
    <r>
      <rPr>
        <sz val="10"/>
        <color indexed="8"/>
        <rFont val="Calibri"/>
        <family val="2"/>
      </rPr>
      <t>-</t>
    </r>
    <r>
      <rPr>
        <sz val="10"/>
        <color indexed="8"/>
        <rFont val="新細明體"/>
        <family val="1"/>
        <charset val="136"/>
      </rPr>
      <t>張原豪</t>
    </r>
    <r>
      <rPr>
        <sz val="10"/>
        <color indexed="8"/>
        <rFont val="Calibri"/>
        <family val="2"/>
      </rPr>
      <t>_ASP-DAC 2020</t>
    </r>
  </si>
  <si>
    <r>
      <rPr>
        <sz val="10"/>
        <color indexed="8"/>
        <rFont val="新細明體"/>
        <family val="1"/>
        <charset val="136"/>
      </rPr>
      <t>中國大陸</t>
    </r>
    <r>
      <rPr>
        <sz val="10"/>
        <color indexed="8"/>
        <rFont val="Calibri"/>
        <family val="2"/>
      </rPr>
      <t>(China)</t>
    </r>
  </si>
  <si>
    <r>
      <rPr>
        <sz val="10"/>
        <color indexed="8"/>
        <rFont val="新細明體"/>
        <family val="1"/>
        <charset val="136"/>
      </rPr>
      <t>前往廈門參加地心學術研討會</t>
    </r>
  </si>
  <si>
    <t>109/01/03-109/01/05</t>
  </si>
  <si>
    <r>
      <rPr>
        <sz val="10"/>
        <color indexed="8"/>
        <rFont val="新細明體"/>
        <family val="1"/>
        <charset val="136"/>
      </rPr>
      <t>廈門</t>
    </r>
    <r>
      <rPr>
        <sz val="10"/>
        <color indexed="8"/>
        <rFont val="Calibri"/>
        <family val="2"/>
      </rPr>
      <t>(Xiamen)</t>
    </r>
  </si>
  <si>
    <t>00053451</t>
  </si>
  <si>
    <r>
      <rPr>
        <sz val="10"/>
        <color indexed="8"/>
        <rFont val="新細明體"/>
        <family val="1"/>
        <charset val="136"/>
      </rPr>
      <t>一個門檻擴散過程的近似最大概似估計以及試題反應模型下的差別試題功能</t>
    </r>
    <r>
      <rPr>
        <sz val="10"/>
        <color indexed="8"/>
        <rFont val="Calibri"/>
        <family val="2"/>
      </rPr>
      <t>_108-2118-M-001-003-MY2</t>
    </r>
  </si>
  <si>
    <r>
      <rPr>
        <sz val="10"/>
        <color indexed="8"/>
        <rFont val="新細明體"/>
        <family val="1"/>
        <charset val="136"/>
      </rPr>
      <t>接受香港科技大學蘇家培教授以及私立逢甲大學陳婉淑教授的邀請，參加</t>
    </r>
    <r>
      <rPr>
        <sz val="10"/>
        <color indexed="8"/>
        <rFont val="Calibri"/>
        <family val="2"/>
      </rPr>
      <t xml:space="preserve"> 12/2</t>
    </r>
    <r>
      <rPr>
        <sz val="10"/>
        <color indexed="8"/>
        <rFont val="新細明體"/>
        <family val="1"/>
        <charset val="136"/>
      </rPr>
      <t>至</t>
    </r>
    <r>
      <rPr>
        <sz val="10"/>
        <color indexed="8"/>
        <rFont val="Calibri"/>
        <family val="2"/>
      </rPr>
      <t xml:space="preserve">12/5 </t>
    </r>
    <r>
      <rPr>
        <sz val="10"/>
        <color indexed="8"/>
        <rFont val="新細明體"/>
        <family val="1"/>
        <charset val="136"/>
      </rPr>
      <t>在香港大學舉行的</t>
    </r>
    <r>
      <rPr>
        <sz val="10"/>
        <color indexed="8"/>
        <rFont val="Calibri"/>
        <family val="2"/>
      </rPr>
      <t xml:space="preserve"> IASC-ARS 2019 </t>
    </r>
    <r>
      <rPr>
        <sz val="10"/>
        <color indexed="8"/>
        <rFont val="新細明體"/>
        <family val="1"/>
        <charset val="136"/>
      </rPr>
      <t>會議，並發表專題演講。</t>
    </r>
  </si>
  <si>
    <t>108/12/02-108/12/05</t>
  </si>
  <si>
    <t>00052259</t>
  </si>
  <si>
    <r>
      <rPr>
        <sz val="10"/>
        <color indexed="8"/>
        <rFont val="新細明體"/>
        <family val="1"/>
        <charset val="136"/>
      </rPr>
      <t>支出收回</t>
    </r>
    <r>
      <rPr>
        <sz val="10"/>
        <color indexed="8"/>
        <rFont val="Calibri"/>
        <family val="2"/>
      </rPr>
      <t>-</t>
    </r>
    <r>
      <rPr>
        <sz val="10"/>
        <color indexed="8"/>
        <rFont val="新細明體"/>
        <family val="1"/>
        <charset val="136"/>
      </rPr>
      <t>會議取消註冊費</t>
    </r>
  </si>
  <si>
    <r>
      <rPr>
        <sz val="10"/>
        <color indexed="8"/>
        <rFont val="新細明體"/>
        <family val="1"/>
        <charset val="136"/>
      </rPr>
      <t>科技部補助國內專家學者出席國際學術會議</t>
    </r>
    <phoneticPr fontId="4" type="noConversion"/>
  </si>
  <si>
    <r>
      <rPr>
        <sz val="10"/>
        <color indexed="8"/>
        <rFont val="新細明體"/>
        <family val="1"/>
        <charset val="136"/>
      </rPr>
      <t>前往中國廣州參加</t>
    </r>
    <r>
      <rPr>
        <sz val="10"/>
        <color indexed="8"/>
        <rFont val="Calibri"/>
        <family val="2"/>
      </rPr>
      <t>the 10th International Conference of International Society for the Study of Chinese Overseas</t>
    </r>
    <r>
      <rPr>
        <sz val="10"/>
        <color indexed="8"/>
        <rFont val="新細明體"/>
        <family val="1"/>
        <charset val="136"/>
      </rPr>
      <t>並發表論文</t>
    </r>
    <phoneticPr fontId="4" type="noConversion"/>
  </si>
  <si>
    <t>108/11/08-11/11</t>
    <phoneticPr fontId="4" type="noConversion"/>
  </si>
  <si>
    <r>
      <rPr>
        <sz val="10"/>
        <color indexed="8"/>
        <rFont val="新細明體"/>
        <family val="1"/>
        <charset val="136"/>
      </rPr>
      <t>中國</t>
    </r>
    <phoneticPr fontId="4" type="noConversion"/>
  </si>
  <si>
    <r>
      <rPr>
        <sz val="10"/>
        <color indexed="8"/>
        <rFont val="新細明體"/>
        <family val="1"/>
        <charset val="136"/>
      </rPr>
      <t>廣州</t>
    </r>
    <phoneticPr fontId="4" type="noConversion"/>
  </si>
  <si>
    <r>
      <t>108</t>
    </r>
    <r>
      <rPr>
        <sz val="10"/>
        <color indexed="8"/>
        <rFont val="新細明體"/>
        <family val="1"/>
        <charset val="136"/>
      </rPr>
      <t>年未列應付帳款</t>
    </r>
    <phoneticPr fontId="4" type="noConversion"/>
  </si>
  <si>
    <r>
      <rPr>
        <sz val="10"/>
        <color indexed="8"/>
        <rFont val="新細明體"/>
        <family val="1"/>
        <charset val="136"/>
      </rPr>
      <t>新興農業生物技術計畫</t>
    </r>
    <phoneticPr fontId="4" type="noConversion"/>
  </si>
  <si>
    <r>
      <rPr>
        <sz val="10"/>
        <color indexed="8"/>
        <rFont val="新細明體"/>
        <family val="1"/>
        <charset val="136"/>
      </rPr>
      <t>動物保健產業及安全防護科技創新開發計畫</t>
    </r>
    <phoneticPr fontId="4" type="noConversion"/>
  </si>
  <si>
    <r>
      <rPr>
        <sz val="10"/>
        <color indexed="8"/>
        <rFont val="新細明體"/>
        <family val="1"/>
        <charset val="136"/>
      </rPr>
      <t>臺灣人體生物資料庫計畫</t>
    </r>
    <phoneticPr fontId="4" type="noConversion"/>
  </si>
  <si>
    <r>
      <rPr>
        <sz val="10"/>
        <color indexed="8"/>
        <rFont val="新細明體"/>
        <family val="1"/>
        <charset val="136"/>
      </rPr>
      <t>生技醫藥轉譯創新發展計畫</t>
    </r>
  </si>
  <si>
    <r>
      <rPr>
        <sz val="10"/>
        <color indexed="8"/>
        <rFont val="新細明體"/>
        <family val="1"/>
        <charset val="136"/>
      </rPr>
      <t>科研環境領航計畫</t>
    </r>
    <r>
      <rPr>
        <sz val="10"/>
        <color indexed="8"/>
        <rFont val="Calibri"/>
        <family val="2"/>
      </rPr>
      <t>-</t>
    </r>
    <r>
      <rPr>
        <sz val="10"/>
        <color indexed="8"/>
        <rFont val="新細明體"/>
        <family val="1"/>
        <charset val="136"/>
      </rPr>
      <t>基因體研究中心</t>
    </r>
    <r>
      <rPr>
        <sz val="10"/>
        <color indexed="8"/>
        <rFont val="Calibri"/>
        <family val="2"/>
      </rPr>
      <t>(Genomics)</t>
    </r>
  </si>
  <si>
    <r>
      <rPr>
        <sz val="10"/>
        <color indexed="8"/>
        <rFont val="新細明體"/>
        <family val="1"/>
        <charset val="136"/>
      </rPr>
      <t>受邀參加</t>
    </r>
    <r>
      <rPr>
        <sz val="10"/>
        <color indexed="8"/>
        <rFont val="Calibri"/>
        <family val="2"/>
      </rPr>
      <t>8th Asia-Oceania Mass Spectrometry conference 2020</t>
    </r>
    <r>
      <rPr>
        <sz val="10"/>
        <color indexed="8"/>
        <rFont val="新細明體"/>
        <family val="1"/>
        <charset val="136"/>
      </rPr>
      <t>並給予演講</t>
    </r>
  </si>
  <si>
    <t>109/01/04-109/01/07</t>
  </si>
  <si>
    <t>00053287</t>
  </si>
  <si>
    <t>109/01/05-109/01/08</t>
  </si>
  <si>
    <t>00053255</t>
  </si>
  <si>
    <r>
      <rPr>
        <sz val="10"/>
        <color indexed="8"/>
        <rFont val="新細明體"/>
        <family val="1"/>
        <charset val="136"/>
      </rPr>
      <t>開創蛋白質醫學及生技產業計畫</t>
    </r>
  </si>
  <si>
    <r>
      <rPr>
        <sz val="10"/>
        <color indexed="8"/>
        <rFont val="新細明體"/>
        <family val="1"/>
        <charset val="136"/>
      </rPr>
      <t>研究</t>
    </r>
  </si>
  <si>
    <r>
      <rPr>
        <sz val="10"/>
        <color indexed="8"/>
        <rFont val="新細明體"/>
        <family val="1"/>
        <charset val="136"/>
      </rPr>
      <t>台灣及鄰近地區地體動力學研究</t>
    </r>
    <r>
      <rPr>
        <sz val="10"/>
        <color indexed="8"/>
        <rFont val="Calibri"/>
        <family val="2"/>
      </rPr>
      <t>III (GOTTA III)-</t>
    </r>
    <r>
      <rPr>
        <sz val="10"/>
        <color indexed="8"/>
        <rFont val="新細明體"/>
        <family val="1"/>
        <charset val="136"/>
      </rPr>
      <t>建構南海地震網與推動周邊地體構造與地震防災研究</t>
    </r>
    <r>
      <rPr>
        <sz val="10"/>
        <color indexed="8"/>
        <rFont val="Calibri"/>
        <family val="2"/>
      </rPr>
      <t>_108-2116-M-001-010-MY3</t>
    </r>
  </si>
  <si>
    <r>
      <rPr>
        <sz val="10"/>
        <color indexed="8"/>
        <rFont val="新細明體"/>
        <family val="1"/>
        <charset val="136"/>
      </rPr>
      <t>至廈門共同探討閩台地震科技研究進展與合作</t>
    </r>
  </si>
  <si>
    <t>108/12/20-108/12/23</t>
  </si>
  <si>
    <r>
      <rPr>
        <sz val="10"/>
        <color indexed="8"/>
        <rFont val="新細明體"/>
        <family val="1"/>
        <charset val="136"/>
      </rPr>
      <t>福建</t>
    </r>
  </si>
  <si>
    <t>00053101</t>
  </si>
  <si>
    <t>00053046</t>
  </si>
  <si>
    <r>
      <rPr>
        <sz val="10"/>
        <color indexed="8"/>
        <rFont val="新細明體"/>
        <family val="1"/>
        <charset val="136"/>
      </rPr>
      <t>秦漢時代的鄉與里</t>
    </r>
    <r>
      <rPr>
        <sz val="10"/>
        <color indexed="8"/>
        <rFont val="Calibri"/>
        <family val="2"/>
      </rPr>
      <t>_107-2628-H-001-001-MY3</t>
    </r>
  </si>
  <si>
    <t>因執行科技部計畫「秦漢時代的鄉與里」，前往中國湖北省武漢、隨州、襄陽、南陽、信陽等地進行移地研究，考察先秦兩漢考古遺跡及出土文物，以掌握當地聚落、人群之變遷。</t>
    <phoneticPr fontId="4" type="noConversion"/>
  </si>
  <si>
    <t>108/12/27-109/01/06</t>
  </si>
  <si>
    <r>
      <rPr>
        <sz val="10"/>
        <color indexed="8"/>
        <rFont val="新細明體"/>
        <family val="1"/>
        <charset val="136"/>
      </rPr>
      <t>湖北</t>
    </r>
  </si>
  <si>
    <r>
      <rPr>
        <sz val="10"/>
        <color indexed="8"/>
        <rFont val="新細明體"/>
        <family val="1"/>
        <charset val="136"/>
      </rPr>
      <t>武漢</t>
    </r>
    <r>
      <rPr>
        <sz val="10"/>
        <color indexed="8"/>
        <rFont val="Calibri"/>
        <family val="2"/>
      </rPr>
      <t xml:space="preserve">(Wu Han) </t>
    </r>
    <r>
      <rPr>
        <sz val="10"/>
        <color indexed="8"/>
        <rFont val="新細明體"/>
        <family val="1"/>
        <charset val="136"/>
      </rPr>
      <t>隨州、襄陽、南陽等</t>
    </r>
  </si>
  <si>
    <t>00052865</t>
  </si>
  <si>
    <r>
      <rPr>
        <sz val="10"/>
        <color indexed="8"/>
        <rFont val="新細明體"/>
        <family val="1"/>
        <charset val="136"/>
      </rPr>
      <t>交通網絡對移民，貿易及經濟增長的影響</t>
    </r>
    <r>
      <rPr>
        <sz val="10"/>
        <color indexed="8"/>
        <rFont val="Calibri"/>
        <family val="2"/>
      </rPr>
      <t>_108-2410-H-001-037-MY3</t>
    </r>
  </si>
  <si>
    <t>赴上海財經大學經濟學系進行研究交流。</t>
    <phoneticPr fontId="4" type="noConversion"/>
  </si>
  <si>
    <t>108/12/26-109/01/03</t>
  </si>
  <si>
    <t>00053225</t>
  </si>
  <si>
    <r>
      <rPr>
        <sz val="10"/>
        <color indexed="8"/>
        <rFont val="新細明體"/>
        <family val="1"/>
        <charset val="136"/>
      </rPr>
      <t>往返機票費由邀請單位支付</t>
    </r>
    <phoneticPr fontId="4" type="noConversion"/>
  </si>
  <si>
    <r>
      <rPr>
        <sz val="10"/>
        <color indexed="8"/>
        <rFont val="新細明體"/>
        <family val="1"/>
        <charset val="136"/>
      </rPr>
      <t>多年期計畫尚未結案併期末報告一併繳交</t>
    </r>
    <phoneticPr fontId="4" type="noConversion"/>
  </si>
  <si>
    <r>
      <rPr>
        <sz val="10"/>
        <color indexed="8"/>
        <rFont val="新細明體"/>
        <family val="1"/>
        <charset val="136"/>
      </rPr>
      <t>近鄰紅矮星周圍行星的形成機制和大氣研究</t>
    </r>
    <r>
      <rPr>
        <sz val="10"/>
        <color indexed="8"/>
        <rFont val="Calibri"/>
        <family val="2"/>
      </rPr>
      <t xml:space="preserve"> (</t>
    </r>
    <r>
      <rPr>
        <sz val="10"/>
        <color indexed="8"/>
        <rFont val="新細明體"/>
        <family val="1"/>
        <charset val="136"/>
      </rPr>
      <t>兩岸合作研究：太陽系天體與系外行星系統，系外行星、行星形</t>
    </r>
    <r>
      <rPr>
        <sz val="10"/>
        <color indexed="8"/>
        <rFont val="Calibri"/>
        <family val="2"/>
      </rPr>
      <t>_105-2119-M-001-043-MY3</t>
    </r>
  </si>
  <si>
    <r>
      <rPr>
        <sz val="10"/>
        <color indexed="8"/>
        <rFont val="新細明體"/>
        <family val="1"/>
        <charset val="136"/>
      </rPr>
      <t>赴中國大陸廈門大學、珠海市中山大學、中國科學院上海天文台、南京大學及四川大學進行學術交流，後赴日本東京國立天文台進行計畫相關學術研究。</t>
    </r>
  </si>
  <si>
    <t>109/01/02-109/03/16</t>
  </si>
  <si>
    <r>
      <rPr>
        <sz val="10"/>
        <color indexed="8"/>
        <rFont val="新細明體"/>
        <family val="1"/>
        <charset val="136"/>
      </rPr>
      <t>福建</t>
    </r>
    <r>
      <rPr>
        <sz val="10"/>
        <color indexed="8"/>
        <rFont val="Calibri"/>
        <family val="2"/>
      </rPr>
      <t xml:space="preserve"> </t>
    </r>
    <r>
      <rPr>
        <sz val="10"/>
        <color indexed="8"/>
        <rFont val="新細明體"/>
        <family val="1"/>
        <charset val="136"/>
      </rPr>
      <t>廣東省</t>
    </r>
    <r>
      <rPr>
        <sz val="10"/>
        <color indexed="8"/>
        <rFont val="Calibri"/>
        <family val="2"/>
      </rPr>
      <t xml:space="preserve"> </t>
    </r>
    <r>
      <rPr>
        <sz val="10"/>
        <color indexed="8"/>
        <rFont val="新細明體"/>
        <family val="1"/>
        <charset val="136"/>
      </rPr>
      <t>上海市</t>
    </r>
    <r>
      <rPr>
        <sz val="10"/>
        <color indexed="8"/>
        <rFont val="Calibri"/>
        <family val="2"/>
      </rPr>
      <t xml:space="preserve"> </t>
    </r>
    <r>
      <rPr>
        <sz val="10"/>
        <color indexed="8"/>
        <rFont val="新細明體"/>
        <family val="1"/>
        <charset val="136"/>
      </rPr>
      <t>江蘇</t>
    </r>
    <r>
      <rPr>
        <sz val="10"/>
        <color indexed="8"/>
        <rFont val="Calibri"/>
        <family val="2"/>
      </rPr>
      <t xml:space="preserve"> </t>
    </r>
    <r>
      <rPr>
        <sz val="10"/>
        <color indexed="8"/>
        <rFont val="新細明體"/>
        <family val="1"/>
        <charset val="136"/>
      </rPr>
      <t>四川</t>
    </r>
  </si>
  <si>
    <r>
      <rPr>
        <sz val="10"/>
        <color indexed="8"/>
        <rFont val="新細明體"/>
        <family val="1"/>
        <charset val="136"/>
      </rPr>
      <t>廈門</t>
    </r>
    <r>
      <rPr>
        <sz val="10"/>
        <color indexed="8"/>
        <rFont val="Calibri"/>
        <family val="2"/>
      </rPr>
      <t xml:space="preserve">(Xiamen) </t>
    </r>
    <r>
      <rPr>
        <sz val="10"/>
        <color indexed="8"/>
        <rFont val="新細明體"/>
        <family val="1"/>
        <charset val="136"/>
      </rPr>
      <t>珠海</t>
    </r>
    <r>
      <rPr>
        <sz val="10"/>
        <color indexed="8"/>
        <rFont val="Calibri"/>
        <family val="2"/>
      </rPr>
      <t xml:space="preserve"> </t>
    </r>
    <r>
      <rPr>
        <sz val="10"/>
        <color indexed="8"/>
        <rFont val="新細明體"/>
        <family val="1"/>
        <charset val="136"/>
      </rPr>
      <t>上海</t>
    </r>
    <r>
      <rPr>
        <sz val="10"/>
        <color indexed="8"/>
        <rFont val="Calibri"/>
        <family val="2"/>
      </rPr>
      <t xml:space="preserve">(Shanghai) </t>
    </r>
    <r>
      <rPr>
        <sz val="10"/>
        <color indexed="8"/>
        <rFont val="新細明體"/>
        <family val="1"/>
        <charset val="136"/>
      </rPr>
      <t>南京</t>
    </r>
    <r>
      <rPr>
        <sz val="10"/>
        <color indexed="8"/>
        <rFont val="Calibri"/>
        <family val="2"/>
      </rPr>
      <t xml:space="preserve">(Nanjing) </t>
    </r>
    <r>
      <rPr>
        <sz val="10"/>
        <color indexed="8"/>
        <rFont val="新細明體"/>
        <family val="1"/>
        <charset val="136"/>
      </rPr>
      <t>成都</t>
    </r>
    <r>
      <rPr>
        <sz val="10"/>
        <color indexed="8"/>
        <rFont val="Calibri"/>
        <family val="2"/>
      </rPr>
      <t>(Chengdu)</t>
    </r>
  </si>
  <si>
    <t>00053432</t>
  </si>
  <si>
    <r>
      <rPr>
        <sz val="10"/>
        <color indexed="8"/>
        <rFont val="新細明體"/>
        <family val="1"/>
        <charset val="136"/>
      </rPr>
      <t>公私合營比較：戰後三十年台灣及香港的教育私營化</t>
    </r>
    <r>
      <rPr>
        <sz val="10"/>
        <color indexed="8"/>
        <rFont val="Calibri"/>
        <family val="2"/>
      </rPr>
      <t>_107-2410-H-001-050-MY3</t>
    </r>
  </si>
  <si>
    <r>
      <rPr>
        <sz val="10"/>
        <color indexed="8"/>
        <rFont val="新細明體"/>
        <family val="1"/>
        <charset val="136"/>
      </rPr>
      <t>至香港政府檔案局、香港中文大學圖書館及香港大學圖書館，蒐集「公私合營比較：戰後三十年香港與臺灣教育的私營化」計畫相關資料</t>
    </r>
  </si>
  <si>
    <t>109/01/19-109/01/27</t>
  </si>
  <si>
    <t>00053461</t>
  </si>
  <si>
    <r>
      <rPr>
        <sz val="10"/>
        <color indexed="8"/>
        <rFont val="新細明體"/>
        <family val="1"/>
        <charset val="136"/>
      </rPr>
      <t>赴香港大學討論合作計畫項目</t>
    </r>
    <r>
      <rPr>
        <sz val="10"/>
        <color indexed="8"/>
        <rFont val="Calibri"/>
        <family val="2"/>
      </rPr>
      <t xml:space="preserve">, </t>
    </r>
    <r>
      <rPr>
        <sz val="10"/>
        <color indexed="8"/>
        <rFont val="新細明體"/>
        <family val="1"/>
        <charset val="136"/>
      </rPr>
      <t>並在香港大學醫學院進行流感蛋白與唾液酸寡醣的醣晶片實驗</t>
    </r>
  </si>
  <si>
    <t>00053481</t>
  </si>
  <si>
    <r>
      <rPr>
        <sz val="10"/>
        <color indexed="8"/>
        <rFont val="新細明體"/>
        <family val="1"/>
        <charset val="136"/>
      </rPr>
      <t>建構南海地震網與推動周邊地體構造與地震防災研究</t>
    </r>
  </si>
  <si>
    <t>00053103</t>
  </si>
  <si>
    <r>
      <rPr>
        <sz val="10"/>
        <color indexed="8"/>
        <rFont val="新細明體"/>
        <family val="1"/>
        <charset val="136"/>
      </rPr>
      <t>合計</t>
    </r>
  </si>
  <si>
    <t>出國計畫執行情形報告表</t>
    <phoneticPr fontId="4" type="noConversion"/>
  </si>
  <si>
    <t>開會</t>
  </si>
  <si>
    <t>研發能量提升計畫</t>
  </si>
  <si>
    <t>國外旅費</t>
  </si>
  <si>
    <t>發展新世代台灣癌症之精準醫療路徑圖計畫</t>
  </si>
  <si>
    <t>歐美亞澳非洲</t>
  </si>
  <si>
    <t>研發能量提升計畫-化學研究所(Chem)</t>
  </si>
  <si>
    <t>今年預定在瑞典舉辦2020 HUPO，因疫情關係改為線上會議。 本次會議涵蓋疾病蛋白基因體分析，提供個人化疾病分析之進展與癌症發生機轉研究。透過參加此會議，可進一步了解「台灣癌症登月計畫」於國際上的競爭性與前瞻性。</t>
  </si>
  <si>
    <t>109/10/19-109/10/22</t>
  </si>
  <si>
    <t>瑞典(Sweden)</t>
  </si>
  <si>
    <t>斯德哥爾摩(Stockholm)</t>
  </si>
  <si>
    <t>今年預定在瑞典舉辦2020 HUPO，因疫情關係改為線上會議。 本次會議涵蓋疾病蛋白基因體分析，提供個人化疾病分析之進展與癌症發生機轉研究。透過參加此會議，可進一步了解「台灣癌症登月計畫」於國際上的競爭性與前瞻性</t>
  </si>
  <si>
    <t>今年預定在瑞典舉辦2020 HUPO，因疫情關係改為線上會議。 本次會議涵蓋疾病蛋白基因體分析，提供個人化疾病分析之進展與癌症發生機轉研究。透過參加此會議，可進一步了解「台灣癌症登月計畫」於國際上的競爭性與前瞻性。</t>
    <phoneticPr fontId="4" type="noConversion"/>
  </si>
  <si>
    <t>參加2020國際人類蛋白體年會(HUPO，線上會議)</t>
  </si>
  <si>
    <t>2020世界人類蛋白體國際會議(HUPO) 此會議邀請國際全球專家演講，內容含括蛋白質組學的所有領域，包括蛋白質組學，蛋白形式，系統生物學和系統醫學等。 會議包含會前培訓到主要大會科學會議，行業研討會，指導會議等內容。</t>
  </si>
  <si>
    <t>今年預定在美國舉辦2020-ASMS，因疫情關係改為線上會議。 此會議為每年質譜分析領域的盛會，以質譜技術為主要發展中心，廣泛包含儀器發展、技術研發、生物標記檢測、甚或蛋白體學研究及疾病鑑定。透過參加此會議，除可發表本計畫於醣蛋白分析技術進展，也可進一步了解「台灣癌症登月計畫」於國際上的競爭性與前瞻性。</t>
  </si>
  <si>
    <t>109/06/01-109/06/12</t>
  </si>
  <si>
    <t>美國(U.S.A.)</t>
  </si>
  <si>
    <t>休士頓(Houston,Texas)</t>
  </si>
  <si>
    <t>因原先誤以為線上會議並無出國，無法核銷國外差旅費，經確認可申請核銷後才申請因公出國並繳交因公出國報告，故因此原因而多有延遲</t>
    <phoneticPr fontId="4" type="noConversion"/>
  </si>
  <si>
    <t>動物保健產業及安全防護科技創新開發計畫</t>
  </si>
  <si>
    <t>生醫轉譯及新藥研發計畫</t>
  </si>
  <si>
    <t>歐美亞澳非</t>
  </si>
  <si>
    <t>科研環境領航計畫</t>
  </si>
  <si>
    <t>國家生技研究園區計畫</t>
  </si>
  <si>
    <t>科研環境領航計畫-生醫轉譯研究中心(BioTReC)</t>
  </si>
  <si>
    <t>BIO Digital 2020原為北美生物科技產業展，是全球生技界每年最大的產業活動平台。今年因COVID-19疫情關係改為數位線上展會。此展會結合一對一洽談會、研討會和廠商發表會，展會為期五天(6/8至6/12)的會議預計將吸引全球各大藥廠關鍵意見領袖、投資人與生技相關廠商，期望藉由本展促進我國生技業產官學界於國際之曝光度，加強國際交流合作，開創新商機。</t>
  </si>
  <si>
    <t>109/06/08-109/06/12</t>
  </si>
  <si>
    <t>聖地牙哥(San Diego,California)</t>
  </si>
  <si>
    <t>美國-華盛頓</t>
  </si>
  <si>
    <t>生技醫藥轉譯創新發展計畫</t>
  </si>
  <si>
    <t>高階分析儀器的自研自製與自用計畫</t>
  </si>
  <si>
    <t>美國</t>
  </si>
  <si>
    <t>澳洲</t>
  </si>
  <si>
    <t>歐洲</t>
  </si>
  <si>
    <t>開創蛋白質醫學及生技產業</t>
  </si>
  <si>
    <t>育成中心計畫</t>
  </si>
  <si>
    <t>接受補助或委託計畫</t>
  </si>
  <si>
    <t>格里斯代數及OZ類有理頂點算子代數的研究(林正洪)_107-2115-M-001-003-MY3</t>
  </si>
  <si>
    <t>受邀出席國際會議：Workshop on vertex operator algebras</t>
  </si>
  <si>
    <t>109/02/09-109/02/15</t>
  </si>
  <si>
    <t>日本(Japan)</t>
  </si>
  <si>
    <t>熊本(Kumamoto)</t>
  </si>
  <si>
    <t>p進三重積L函數以及對角cycle(謝銘倫)_108-2628-M-001-009-MY4</t>
  </si>
  <si>
    <t>1/15-1/19 受邀出國移地研究：日本 Osaka City University 1/20-1/23 受邀出席國際會議：RIMS workshop “Analytic, geometric and p-adic aspects of automorphic forms and L-functions”</t>
  </si>
  <si>
    <t>109/01/15-109/01/23</t>
  </si>
  <si>
    <t>京都(Kyoto) 大阪(Osaka)</t>
  </si>
  <si>
    <t>快擴散型方程解的存在性和特性研究(許健明)_108-2115-M-001-004-</t>
  </si>
  <si>
    <t>受邀出國際會議：Workshop and school on geometric analysis and discrete geometry</t>
  </si>
  <si>
    <t>109/02/09-109/02/14</t>
  </si>
  <si>
    <t>南韓(Korea)</t>
  </si>
  <si>
    <t>首爾(Seoul)</t>
  </si>
  <si>
    <r>
      <t>因COVID-19疫情影響，會議取消</t>
    </r>
    <r>
      <rPr>
        <sz val="10"/>
        <color indexed="8"/>
        <rFont val="標楷體"/>
        <family val="4"/>
        <charset val="136"/>
      </rPr>
      <t>，</t>
    </r>
    <r>
      <rPr>
        <sz val="10"/>
        <color indexed="8"/>
        <rFont val="新細明體"/>
        <family val="1"/>
        <charset val="136"/>
      </rPr>
      <t>此為相關手續費</t>
    </r>
    <phoneticPr fontId="4" type="noConversion"/>
  </si>
  <si>
    <t>以隨機配置法及多項式渾沌展開法估計選擇權訂價(林玉端)_107-2115-M-001-004-MY2</t>
  </si>
  <si>
    <t>受邀出席國際會議：2020 10th International Conference on Applied Physics and Mathematics (ICAPM 2020)</t>
  </si>
  <si>
    <t>109/01/09-109/01/13</t>
  </si>
  <si>
    <t>東京(Tokyo)</t>
  </si>
  <si>
    <t>利用緻密天體之多信使觀測訊號探索微中子物理,核物?z,及粒子物理_107-2119-M-001-038-</t>
  </si>
  <si>
    <t>參加「粒子天文物理與宇宙學 - 理論與實驗學術研討會」暨發表專題論文演講。</t>
  </si>
  <si>
    <t>109/01/05-109/01/10</t>
  </si>
  <si>
    <t>越南(Vietnam)</t>
  </si>
  <si>
    <t>歸仁 (Quy Nhon)</t>
  </si>
  <si>
    <t>參加「粒子天文物理與宇宙學-理論與實驗」學術研討會暨發表專題論文演講。</t>
  </si>
  <si>
    <t>歸仁市</t>
  </si>
  <si>
    <t>奈米科技學門研究發展及推動計畫_108-2114-M-001-001-</t>
  </si>
  <si>
    <t>「Japan nano tech 2020」及「M-ERA.NET Call 2019 selection meeting &amp; M-ERA.NET Steering Board meeting」</t>
  </si>
  <si>
    <t>109/01/28-109/02/02</t>
  </si>
  <si>
    <t>捷克(Czech Republic) 日本(Japan)</t>
  </si>
  <si>
    <t>布拉格(Prauge) 東京(Tokyo)</t>
  </si>
  <si>
    <t>高速X光三維成像重建構全腦神經網路結構(2/4)_108-2119-M-001-015-</t>
  </si>
  <si>
    <t>赴新加坡參與SYNAPSE會議進行學術及技術交流</t>
  </si>
  <si>
    <t>109/01/14-109/01/17</t>
  </si>
  <si>
    <t>新加坡(Singapore)</t>
  </si>
  <si>
    <t>原赴新加坡參與SYNAPSE會議進行學術及技術交流，現取消。</t>
  </si>
  <si>
    <t>109/01/14-109/01/16</t>
  </si>
  <si>
    <t>味物理的量子色動力學研究_107-2119-M-001-035-MY3</t>
  </si>
  <si>
    <t>出席「KIAS 粒子弦論及宇宙學冬季研討會」並發表學術專題論文演講</t>
  </si>
  <si>
    <t>109/02/02-109/02/08</t>
  </si>
  <si>
    <t>江原道</t>
  </si>
  <si>
    <t>開發新穎高通量奈米流體整合表面電漿子共振成像之即時生物分子反應動力學暨親和力分析儀(1/3)_108-2119-M-001-017-</t>
  </si>
  <si>
    <t>出席國際學術會議Photonics West BiOS 2020 conference及至「紐澤西理工學院」進行學術研究國際合作交流。</t>
  </si>
  <si>
    <t>109/01/31-109/02/10</t>
  </si>
  <si>
    <t>舊金山(San Francisco,California) 紐華克</t>
  </si>
  <si>
    <t>2020年日本nano tech奈米科技展－台灣館參展計畫_108-2119-M-001-020-</t>
  </si>
  <si>
    <t>Japan nano tech 2020」展覽會</t>
  </si>
  <si>
    <t>109/01/28-109/01/31</t>
  </si>
  <si>
    <t>出席「nano tech 2020」暨「ASIA NANO FORUM at Nanotech 2020」會議，進行學術交流。</t>
  </si>
  <si>
    <t>109/01/28-109/02/01</t>
  </si>
  <si>
    <t>109/01/27-109/02/02</t>
  </si>
  <si>
    <t>出席「Japan nano tech 2020」展覽會暨亞洲奈米論壇（Asia Nano Forum, ANF）會議</t>
  </si>
  <si>
    <t>出席「Japan nano tech 2020」展覽會。</t>
  </si>
  <si>
    <t>109年挪威KSAT接收站之福衛五號原始影像資料回傳自動化系統維護_NSPO-S-109035</t>
  </si>
  <si>
    <t>嚴漢偉於2020年2/12-2/15日受邀參加日本JAXA，為執行歐盟計畫，協助守望亞洲建立分散式雲端系統平台，並與前述計畫資源整合參與相關討論。</t>
  </si>
  <si>
    <t>109/02/12-109/02/15</t>
  </si>
  <si>
    <t>磁性材料微小結構中磁振子的產生，傳遞，與磁單元的交互作用之研究_108-2112-M-001-026-MY3</t>
  </si>
  <si>
    <t>赴美國科羅拉多州立大學物理系Prof. Mingzhone Wu 進行學術交流活動。</t>
  </si>
  <si>
    <t>109/03/01-109/03/11</t>
  </si>
  <si>
    <t>丹佛(Denver,Colorado) 柯林斯堡（Fort Collins)</t>
  </si>
  <si>
    <t>運用和頻光譜技術研究複雜氧化物介面_106-2112-M-001-001-MY3</t>
  </si>
  <si>
    <t>出席「2020 APS March Meeting」並發表論文</t>
  </si>
  <si>
    <t>109/03/01-109/03/08</t>
  </si>
  <si>
    <t>丹佛(Denver,Colorado)</t>
  </si>
  <si>
    <t>多組分冷原子氣體與超導理論_107-2112-M-001-035-MY3</t>
  </si>
  <si>
    <t>前往美國參加2020年美國物理年會(March meeting of American Physical Society)</t>
  </si>
  <si>
    <t>109/02/27-109/03/08</t>
  </si>
  <si>
    <t>運用掃描穿隧能譜影像技術研究新穎拓樸相_107-2628-M-001-003-MY3</t>
  </si>
  <si>
    <t>赴美國丹佛參加「2020 APS March Meeting」並發表論文。</t>
  </si>
  <si>
    <t>109/03/01-109/03/07</t>
  </si>
  <si>
    <t>新穎超導物理研究—探索超高溫超導體(4/4)_109-2639-M-001-001-</t>
  </si>
  <si>
    <t>前往捷克布拉格參加2020 International Conference on Materials Science and Chemistry Engineering (ICMSCE 2020)</t>
  </si>
  <si>
    <t>109/03/11-109/03/19</t>
  </si>
  <si>
    <t>捷克(Czech Republic)</t>
  </si>
  <si>
    <t>布拉格(Prauge)</t>
  </si>
  <si>
    <t>新穎多尺度微顆粒懸液/複雜流體物理模型_107-2112-M-001-031-MY3</t>
  </si>
  <si>
    <t>所博士後研究洛伊(Supriya Roy)3/01至3/06赴丹佛參加APS March Meeting 2020會議</t>
  </si>
  <si>
    <t>109/03/01-109/03/06</t>
  </si>
  <si>
    <t>複雜氧化物與甘油之亞兆赫聲學特性_108-2112-M-001-027-</t>
  </si>
  <si>
    <t>尋找GPa高壓下可能存在的金屬氫化物室溫超導體並穩定於常壓下(1/2)_108-2112-M-001-042-</t>
  </si>
  <si>
    <t>出席「2020 TMS 年會」，並發表論文</t>
  </si>
  <si>
    <t>109/02/22-109/03/02</t>
  </si>
  <si>
    <t>本所陳彥龍副研究員擬於2020-03-01至03-07赴美國因公出國，赴丹佛參加APS March Meeting 2020會議</t>
  </si>
  <si>
    <t>設計合成鑑定高效率具三重態三重態湮滅或定域化價荷轉移混成激發態藍色螢光有機發光二極體材料(1/3)_109-2113-M-001-018-</t>
  </si>
  <si>
    <t>參加Advanced Materials Lecture Series 2020 網路視訊研討會，並做邀請演講</t>
  </si>
  <si>
    <t>109/09/29-109/09/29</t>
  </si>
  <si>
    <t>Gammalkilsvägen, Ulrika</t>
  </si>
  <si>
    <t>固態有機超分子刺激應答材料開發_106-2113-M-001-014-MY3</t>
  </si>
  <si>
    <t>出席 The 5th Korea-Taiwan Symposium on Chemistry for Sustainable Developments 並發表論文</t>
  </si>
  <si>
    <t>109/02/09-109/02/13</t>
  </si>
  <si>
    <t>在綠色環境下催化斷裂纖維素中β-1,4-醣?鍵結之研究_107-2113-M-001-009-</t>
  </si>
  <si>
    <t>I am invited to give a talk on my recent progress on electrocatalysis, which is a focus in the symposium.</t>
  </si>
  <si>
    <t>以生物無機化合物及功能性材料整合為高效率能源及替代燃料製備系統_106-2113-M-001-031-MY3</t>
  </si>
  <si>
    <t>This Conference will provide an excellent opportunity for scientists and engineers worldwide to exchange information and discussions on the latest developments in photovoltaics.</t>
  </si>
  <si>
    <t>109/01/19-109/01/25</t>
  </si>
  <si>
    <t>筑波市 (Tsukuba)</t>
  </si>
  <si>
    <t>先進的漢彌頓於的耦合值計算與極化子的傳輸應用方法開發_105-2113-M-001-009-MY4</t>
  </si>
  <si>
    <t>出席 Asian Consortium on Computational Materials Science International Conference on Materials Genome (ACCMS-ICMG)會議</t>
  </si>
  <si>
    <t>109/02/02-109/02/10</t>
  </si>
  <si>
    <t>印度(India)</t>
  </si>
  <si>
    <t>Amaravati, Andhra Pradesh 孟買(Mumbai)</t>
  </si>
  <si>
    <t>利用金屬配體中的二分法開發永續催化和化學反應_108-2113-M-001-026-MY3</t>
  </si>
  <si>
    <t>Attend International Conference on Chemistry for Human Development (ICCHD-2020) as a invited speaker.</t>
  </si>
  <si>
    <t>109/01/08-109/01/12</t>
  </si>
  <si>
    <t>加爾各答(Kolkata)</t>
  </si>
  <si>
    <t>地球內部動力學和地磁學的長期變化_108-2116-M-001-016-</t>
  </si>
  <si>
    <t>前往美國舊金山參加2019 AGU Meeting</t>
  </si>
  <si>
    <t>108/12/08-108/12/28</t>
  </si>
  <si>
    <t>舊金山(San Francisco,California)</t>
  </si>
  <si>
    <t>會議結束後尚未返國時,于美國停留期間先行上網繳交報告</t>
    <phoneticPr fontId="4" type="noConversion"/>
  </si>
  <si>
    <t>快速掘升中的高壓相雜岩體-台灣中央山脈東翼玉里帶： 從隱沒轉變為碰撞作用-總計畫暨子計畫一：重建台灣變質核心中玉_107-2116-M-001-026-MY3</t>
  </si>
  <si>
    <t>國際大型學術研討會，吸引世界許多學界人士參與研討、互相交流。會議主要分為口頭報告(Oral)及壁報展示(Poster)，以及另外邀請的特別演講、小型專題討論會、展覽等。</t>
  </si>
  <si>
    <t>108/12/09-108/12/16</t>
  </si>
  <si>
    <t>CREATE VIII:亞洲增生與碰撞大地構造研究整合型計畫-III (ACT in Asia-III)-俄羅斯西伯利亞南部Dunzhugur蛇綠岩之地球化學研究：元古代古亞洲洋上部地函成分與演化之隱示(II)_108-2116-M-001-001-MY2</t>
  </si>
  <si>
    <t>赴阿曼參加International Conference on Ophiolites and the Oceanic Lithosphere並發表論文</t>
  </si>
  <si>
    <t>109/01/09-109/01/18</t>
  </si>
  <si>
    <t>阿曼(Oman)</t>
  </si>
  <si>
    <t>馬斯開特(Muscat)</t>
  </si>
  <si>
    <t>赴澳洲麥覺理大學行星與地球科學系CCFS研究中心進行實驗室參訪與岩樣分析及赴泰國朱拉隆功大學測量工程系與地質學系進行進行研究參訪與洽談開展學術合作事宜</t>
  </si>
  <si>
    <t>108/12/14-109/01/23</t>
  </si>
  <si>
    <t>澳大利亞(Australia) 泰國(Thailand)</t>
  </si>
  <si>
    <t>雪梨(Sydney) 曼谷(Bangkok)</t>
  </si>
  <si>
    <t>季節水文荷重變化對地震活動度之影響_108-2116-M-001-021-MY3</t>
  </si>
  <si>
    <t>赴美國舊金山參加2019美國地球物理聯盟秋季大會</t>
  </si>
  <si>
    <t>108/12/08-108/12/15</t>
  </si>
  <si>
    <t>地函隱沒礦物於高壓下之熱傳導與聲速研究_107-2628-M-001-004-MY3</t>
  </si>
  <si>
    <t>至美國舊金山參加2019美國地球物理聯盟秋季大會</t>
  </si>
  <si>
    <t>108/12/07-108/12/15</t>
  </si>
  <si>
    <t>參加2019美國地球物理聯盟秋季大會</t>
  </si>
  <si>
    <t>108/12/05-108/12/15</t>
  </si>
  <si>
    <t>台灣速度模型：建立、驗證、查詢與應用-台灣速度模型v1.0：反演與整合 (II)_108-2116-M-001-009-</t>
  </si>
  <si>
    <t>參加美國地球物理聯盟舊金山秋季大會(2019AGU Fall Meeting)</t>
  </si>
  <si>
    <t>108/12/07-108/12/23</t>
  </si>
  <si>
    <t>台灣西南部泥灌入體地體構造_107-2116-M-001-027-MY3</t>
  </si>
  <si>
    <t>至美國舊金山參加2019美國地球 物理聯盟秋季大會</t>
  </si>
  <si>
    <t>越過西藏(II)：亞洲造山演化與大陸板塊構造的新視野(4/5)_108-2639-M-001-002-ASP</t>
  </si>
  <si>
    <t>出席AGU Fall Meeting</t>
  </si>
  <si>
    <t>108/12/05-108/12/17</t>
  </si>
  <si>
    <t>大台北都會區地震儀陣列與台灣山區地震觀測網_108-2116-M-001-015-</t>
  </si>
  <si>
    <t>擬報支奧地利維也納舉辦的歐洲地質科學聯盟大會(European Geosciences Union General Assembly 2020)，大會預定旅館退租手續費歐元36元，請准予核銷。</t>
  </si>
  <si>
    <t>109/05/03-109/05/08</t>
  </si>
  <si>
    <t>奧地利(Austria)</t>
  </si>
  <si>
    <t>維也納(Vienna)</t>
  </si>
  <si>
    <r>
      <t>因COVID-19疫情影響，不克前往</t>
    </r>
    <r>
      <rPr>
        <sz val="10"/>
        <color indexed="8"/>
        <rFont val="標楷體"/>
        <family val="4"/>
        <charset val="136"/>
      </rPr>
      <t>，</t>
    </r>
    <r>
      <rPr>
        <sz val="10"/>
        <color indexed="8"/>
        <rFont val="新細明體"/>
        <family val="1"/>
        <charset val="136"/>
      </rPr>
      <t>此為相關手續費(住宿)</t>
    </r>
    <phoneticPr fontId="4" type="noConversion"/>
  </si>
  <si>
    <t>西太平洋隱沒帶研究: 化解台灣構造上的爭議與探索新課題-西太平洋隱沒帶底部之非均向性與流場 (子計畫三及總計畫)_107-2116-M-001-020-MY3</t>
  </si>
  <si>
    <t>赴日本沖繩琉球大學參加“Taiwan-Japan joint OBS experiment for Ryukyu subduction zone” workshop</t>
  </si>
  <si>
    <t>109/02/27-109/02/28</t>
  </si>
  <si>
    <t>沖繩(Okinawa)</t>
  </si>
  <si>
    <r>
      <t>因COVID-19疫情影響，不克前往</t>
    </r>
    <r>
      <rPr>
        <sz val="10"/>
        <color indexed="8"/>
        <rFont val="標楷體"/>
        <family val="4"/>
        <charset val="136"/>
      </rPr>
      <t>，</t>
    </r>
    <r>
      <rPr>
        <sz val="10"/>
        <color indexed="8"/>
        <rFont val="新細明體"/>
        <family val="1"/>
        <charset val="136"/>
      </rPr>
      <t>此為相關手續費(機票)</t>
    </r>
    <phoneticPr fontId="4" type="noConversion"/>
  </si>
  <si>
    <t>快速掘升中的高壓相雜岩體-台灣中央山脈東翼玉里帶： 從隱沒轉變為碰撞作用-總計畫暨子計畫一：重建台灣變質核心中玉里帶及週邊岩石的掘升變形歷史及時空變化：從塑性到脆性_107-2116-M-001-026-MY3</t>
  </si>
  <si>
    <t>國際大型學術研討會，吸引世界許多學界人士參與研討、互相交流。本次為線上會議，主要分為口頭報告(Oral)及壁報展示(Poster)，以及另外邀請的特別演講、小型專題討論會等。</t>
  </si>
  <si>
    <t>109/12/01-109/12/17</t>
  </si>
  <si>
    <t>台灣遠距會議</t>
  </si>
  <si>
    <t>4904 (107玉里)</t>
  </si>
  <si>
    <t>國際會議線上繳交註冊費</t>
    <phoneticPr fontId="4" type="noConversion"/>
  </si>
  <si>
    <t>日本地球科學聯盟會議匯集了來自世界各地許多機構的專業人員，範圍涵蓋行星科學、大氣科學及水文、地球科學、生物地球科學等，活動運作以自下而上的方式，鼓勵交流科學技術與方法。日本本身注重地震機制及災害防治，甚至可參考其政策制定，對於同屬於環太平洋地震活動帶台灣而言是很好的借鏡。</t>
  </si>
  <si>
    <t>109/05/24-109/05/28</t>
  </si>
  <si>
    <t>Chiba千葉Makuhari幕張</t>
  </si>
  <si>
    <t>2617 (107玉里)</t>
  </si>
  <si>
    <t>4903 (107玉里)</t>
  </si>
  <si>
    <t>台灣地震科學資料中心：研發整合型跨計畫地震波形資料網路服務系統計畫 暨 開發台灣研究社群速度模型的網路資料服務系統計畫(1/3)_108-2116-M-001-020-</t>
  </si>
  <si>
    <t>主要目的是參加AGU秋季大會並口頭發表論文，報告在台灣西部觀測風機所產生的地動訊號特徵，並與美國地震學研究聯合會(IRIS)人員交流，同時汲取地震觀測與資料管理的新知。</t>
  </si>
  <si>
    <t>使用光纖陀螺儀測量大地傾斜_108-2116-M-001-023-</t>
  </si>
  <si>
    <t>台灣地區河川系統之鋰及鎂同位素地球化學研究- I_108-2116-M-001-007-</t>
  </si>
  <si>
    <t>赴美參加2019 AGU Fall Meeting並發表論文</t>
  </si>
  <si>
    <t>108/12/08-108/12/14</t>
  </si>
  <si>
    <t>海底電磁觀測儀、海床水流計、海床絕對壓力計的研發與校驗1/3_108-2116-M-001-012-</t>
  </si>
  <si>
    <t>108/12/08-108/12/16</t>
  </si>
  <si>
    <t>建立近即時GPS資料處理系統與觀測成果共享分析平台(II) 暨 臺灣東部地區實施海底大地測量研究_108-2116-M-001-022-</t>
  </si>
  <si>
    <t>赴泰國曼谷(Bangkok, Thailand)參加 GPSGNSS Showcase國際會議</t>
  </si>
  <si>
    <t>109/01/16-109/01/19</t>
  </si>
  <si>
    <t>泰國(Thailand)</t>
  </si>
  <si>
    <t>曼谷(Bangkok)</t>
  </si>
  <si>
    <t>赴美參加AGU 2019 Fall Meeting並發表論文</t>
  </si>
  <si>
    <t>CREATE VIII:亞洲增生與碰撞大地構造研究整合型計畫-III (ACT in Asia-III)-CREATE VIII:亞洲增生與碰撞大地構造研究整合型計畫-III (ACT in Asia-III) 總計畫 暨 子計畫: 越南及其周邊地區寬頻網地震活動觀測與構造研究(1)_108-2116-M-001-011-</t>
  </si>
  <si>
    <t>越南及其周邊地區寬頻網地震活動觀測與構造研究(1)</t>
  </si>
  <si>
    <t>108/12/16-108/12/20</t>
  </si>
  <si>
    <t>寮國(Laos) 越南(Vietnam)</t>
  </si>
  <si>
    <t>永珍(Vientiane) 河內(Hanoi)</t>
  </si>
  <si>
    <t>台灣及鄰近地區地體動力學研究III (GOTTA III)-建構南海地震網與推動周邊地體構造與地震防災研究_108-2116-M-001-010-MY3</t>
  </si>
  <si>
    <t>108年台灣地震科學中心_108-2116-M-001-002-</t>
  </si>
  <si>
    <t>參加2019 AGU Fall meeting 於會議期間設攤展示台灣地震科學研究成果</t>
  </si>
  <si>
    <t>108/12/08-108/12/18</t>
  </si>
  <si>
    <t>台灣西南外海氣水化合物的地球物理研究_108-2611-M-001-005-</t>
  </si>
  <si>
    <t>前往帕皮提(法屬玻里尼西亞)搭乘RV Kilo Moana研究船出海作業，待航次結束後靠港登陸，搭機返台。</t>
  </si>
  <si>
    <t>108/11/07-108/12/07</t>
  </si>
  <si>
    <t>法國(France)</t>
  </si>
  <si>
    <t>帕皮提(法屬玻里尼西亞)</t>
  </si>
  <si>
    <t>台灣速度模型：建立、驗證、查詢與應用-台灣速度模型之驗證_107-2116-M-001-025-MY3</t>
  </si>
  <si>
    <t>與加拿大多倫多大學學者研究討論暨參加美國地球物理聯盟舊金山秋季大會(2019AGU Fall Meeting)</t>
  </si>
  <si>
    <t>108/11/25-108/12/17</t>
  </si>
  <si>
    <t>美國(U.S.A.) 加拿大(Canada)</t>
  </si>
  <si>
    <t>舊金山(San Francisco,California) 多倫多(Toronto)</t>
  </si>
  <si>
    <t>出席2019美國地球物理聯盟秋季大會</t>
  </si>
  <si>
    <t>108/12/08-108/12/23</t>
  </si>
  <si>
    <t>108/12/07-108/12/18</t>
  </si>
  <si>
    <t>至美國史丹福大學SLAC實驗室從事移地研究及參加2019美國地球物理聯盟秋季大會</t>
  </si>
  <si>
    <t>108/12/05-108/12/13</t>
  </si>
  <si>
    <t>舊金山(San Francisco,California) 史丹佛</t>
  </si>
  <si>
    <t>西伯利亞古陸阿爾丹地塊前寒武紀地殼與地函之演化：來自Olondo綠岩帶地質、年代學與同位素地球化學的制約_107-2923-M-001-005-MY3</t>
  </si>
  <si>
    <t>赴日名古屋大學實驗分析</t>
  </si>
  <si>
    <t>108/11/10-108/11/22</t>
  </si>
  <si>
    <t>名古屋(Nagoya)</t>
  </si>
  <si>
    <t>本計畫以台灣中央山脈的構造特性獲得美國國家科學基金會以及本國科技部資助之雙方學者交流訪問申請。因此本所博士後-何恭睿將前往康乃狄克大學停留3個月訪問並參與美國地球物理聯合會發表研究成果</t>
  </si>
  <si>
    <t>108/09/25-108/12/17</t>
  </si>
  <si>
    <t>舊金山(San Francisco,California) 康乃狄克州Connecticut</t>
  </si>
  <si>
    <t>108/12/07-108/12/31</t>
  </si>
  <si>
    <t>台灣速度模型：建立、驗證、查詢與應用－台灣速度模型之驗證</t>
  </si>
  <si>
    <t>108/12/05-108/12/18</t>
  </si>
  <si>
    <t>建構概念為本且具語義結合性的中文知識庫(2/4)_109-2634-F-001-010-</t>
  </si>
  <si>
    <t>MOST109-2634-F-001-010_計畫助理楊慕參加109年05月13日至05月15日第十二屆語言資源與評估會議。因疫情的關係改為線上會議，並發表1篇論文。</t>
  </si>
  <si>
    <t>109/05/13-109/05/15</t>
  </si>
  <si>
    <t>馬賽(Marseille)</t>
  </si>
  <si>
    <t>出國報告連同結案報告一併繳交</t>
  </si>
  <si>
    <t>基於AI應用之深度學習智慧系統整合-異質性深度模型整合與檢索特徵學習(3/4)_109-2634-F-001-009-</t>
  </si>
  <si>
    <t>(P20002-MOST109-2634-F-001-009) 基於AI應用之深度學習智慧系統整合-異質性深度模型整合與檢索特徵學習(3/4)，研究研究助理屠政皓出席APSIPA ASC 2020會議並發表論文。</t>
  </si>
  <si>
    <t>109/12/07-109/12/10</t>
  </si>
  <si>
    <t>紐西蘭(New Zealand)</t>
  </si>
  <si>
    <t>奧克蘭(Auckland)</t>
  </si>
  <si>
    <t>(P20002-MOST109-2634-F-001-009) 基於AI應用之深度學習智慧系統整合-異質性深度模型整合與檢索特徵學習(3/4)，研究研究助理李家宏出席APSIPA ASC 2020會議並發表論文。</t>
  </si>
  <si>
    <t>雲端財富及風險管理：投資策略與智能交易技術與高效率演算法開發研究-雲端財富及風險管理：投資策略與智能交易技術與高效率演算法開發研究(3/3)_108-2218-E-001-003-</t>
  </si>
  <si>
    <t>碩士研究生許家豪透過網路線上參加西班牙巴賽隆納IEEE ICASSP會議並於發表論文</t>
  </si>
  <si>
    <t>109/05/04-109/05/08</t>
  </si>
  <si>
    <t>西班牙(Spain)</t>
  </si>
  <si>
    <t>巴塞隆納(Barcelona)</t>
  </si>
  <si>
    <t>自動化服務組合：自然語言需求擷取與多目標演化式服務組合_108-2221-E-001-007-MY2</t>
  </si>
  <si>
    <t>P19027_MOST108-2221-E-001-007-MY2_ 博士後研究員許揚參加美國SCC2020線上會議並發表論文.</t>
  </si>
  <si>
    <t>109/09/18-109/09/20</t>
  </si>
  <si>
    <t>夏威夷州(State of Hawaii)</t>
  </si>
  <si>
    <t>具深度理解之對話系統及智慧型輔助學習機器人(3/4)_109-2634-F-001-008-</t>
  </si>
  <si>
    <t>MOST 109-2634-F-001-008_計畫共同主持人張詠淳參加109年09月22日至09月25日IEAAIE國際研討會。因疫情的關係改為線上會議，並發表2篇論文。</t>
  </si>
  <si>
    <t>109/09/22-109/09/25</t>
  </si>
  <si>
    <t>北九州(Kitakyushu)</t>
  </si>
  <si>
    <t>創新以及可永續的研究資料管理和協作(1/3)_108-2621-M-001-006-</t>
  </si>
  <si>
    <t>P19039_MOST108-2621-M-001-006_RDA Plenary 15</t>
  </si>
  <si>
    <t>109/03/15-109/03/23</t>
  </si>
  <si>
    <t>澳大利亞(Australia)</t>
  </si>
  <si>
    <t>墨爾本(Melbourne)</t>
  </si>
  <si>
    <t>虛擬實境之社群網路群組物件推薦_108-2221-E-001-002-</t>
  </si>
  <si>
    <t>P19033_MOST108-2221-E-001-002-_研究員楊得年以「ONLINE」方式參與2020年6月7日至6月11日召開之IEEE ICC 2020國際會議並發表論文</t>
  </si>
  <si>
    <t>109/06/07-109/06/11</t>
  </si>
  <si>
    <t>愛爾蘭(Ireland)</t>
  </si>
  <si>
    <t>都伯林(Dublin)</t>
  </si>
  <si>
    <t>P19033_虛擬實境之社群網路群組物件推薦_線上參加PAKDD 2020並發表論文</t>
  </si>
  <si>
    <t>109/05/11-109/05/14</t>
  </si>
  <si>
    <t>研究助理謝宗宏透過網路線上參加西班牙巴賽隆納召開IEEE ICASSP並發表論文</t>
  </si>
  <si>
    <t>109/05/03-109/05/09</t>
  </si>
  <si>
    <t>中文知識圖譜新一代建構技術：利用強化學習同步優化剖析與資訊擷取_MOST108-3111-Y-001-058</t>
  </si>
  <si>
    <t>P19045-中文知識圖譜新一代建構技術：利用強化學習同步優化剖析與資訊擷取 _MOST108-3111-Y-001-058_AAAI-20</t>
  </si>
  <si>
    <t>109/02/02-109/02/15</t>
  </si>
  <si>
    <t>紐約市(New York,New York)</t>
  </si>
  <si>
    <t>供應鏈金融:大數據風險信分析與智能合約眾籌監理技術應用-供應鏈金融隨機風險建模與決策支援(3/3)_MOST108-2218-E-468-002</t>
  </si>
  <si>
    <t>P19042_供應鏈金融:大數據風險信評分析與智能合約眾籌監理技術應用-供應鏈金融隨機風險建模與決策支援(3/3)_108-2218-E-468-001_ AAAI-20</t>
  </si>
  <si>
    <t>109/02/06-109/02/17</t>
  </si>
  <si>
    <t>109-2914-L-001-014-A1</t>
  </si>
  <si>
    <t>S20003_109-2914-L-001-014-A1_ICASSP_IEEE Trans. on Image Processing之Editorial Board meeting</t>
  </si>
  <si>
    <t>109/05/03-109/05/10</t>
  </si>
  <si>
    <t>109/5/12繳交報告給科技部</t>
    <phoneticPr fontId="4" type="noConversion"/>
  </si>
  <si>
    <t>玉米分泌甘露糖結合蛋白(mannose-binding protein)抗真菌機制之探討_107-2311-B-001-044-MY3</t>
  </si>
  <si>
    <t>A battle between Plant antifungal defense molecule and ustilago maydis effectors in Host-pathogen interface.</t>
  </si>
  <si>
    <t>109/02/12-109/02/22</t>
  </si>
  <si>
    <t>義大利(Italy) 德國(Germany)</t>
  </si>
  <si>
    <t>羅馬(Rome) Marburg</t>
  </si>
  <si>
    <t>解讀組蛋白H3K4甲基化與細胞代謝於染色質動力狀態中的功能聯繫_MOST108-2320-B-001-019-</t>
  </si>
  <si>
    <t>參加Cancer Epigenetics: New Mechanisms and Therapeutic Opportunities學術會議並發表成果</t>
  </si>
  <si>
    <t>109/01/26-109/02/06</t>
  </si>
  <si>
    <t>Keystone, CO USA</t>
  </si>
  <si>
    <t>剖析斑馬魚VCAP1X2及Itga3b在心臟收縮力，心肌及心外皮細胞增生的調節機制與VCAP1X2及Itga3b的交互作用_108-2313-B-001-007-MY3</t>
  </si>
  <si>
    <t>原預定出席於6/29~7/2於捷克布拉格舉辦的第11屆歐洲斑馬魚國際會議並發表論文，但因COVID-19疫情導致此會議延期舉行，已預購機票，申請退票手續費</t>
  </si>
  <si>
    <t>109/06/29-109/07/02</t>
  </si>
  <si>
    <t>受COVID-19疫情影響，未能出國</t>
  </si>
  <si>
    <t>原預定參加日本熊本發育生物學會議，已預購機票，因COVID-19疫情，接獲會議取消通知，申請機票取消手續費補助</t>
  </si>
  <si>
    <t>109/05/15-109/05/24</t>
  </si>
  <si>
    <t>生殖幹細胞和其niche的建立_107-2311-B-001-004-MY3</t>
  </si>
  <si>
    <t>參加英國伯明翰視訊會議(virtual meeting of Targeting Mitochondria 2020)並口頭發表論文</t>
  </si>
  <si>
    <t>109/10/28-109/10/30</t>
  </si>
  <si>
    <t>英國(United Kingdom)</t>
  </si>
  <si>
    <t>伯明翰(Birmingham)</t>
  </si>
  <si>
    <t>果蠅蘑菇體神經元的時間命運的分子機制研究_MOST108-2311-B-001-022-</t>
  </si>
  <si>
    <t>原預定參加GSA於美國華盛頓舉辦的TAGC遺傳會議並發表論文，已預繳部分費用但因疫情該會議取消，申請已預繳之辦理護照手續費</t>
  </si>
  <si>
    <t>109/03/31-109/04/30</t>
  </si>
  <si>
    <t>華盛頓特區(Washington)</t>
  </si>
  <si>
    <t>剖析Wnt/B-catenin路徑在發育和演化中作為二元決策者的作用_MOST108-2311-B-001-002-MY3</t>
  </si>
  <si>
    <t>出席於美國奧斯丁舉辦之SICB2020年度會議並發表論文</t>
  </si>
  <si>
    <t>108/12/22-109/01/09</t>
  </si>
  <si>
    <t>奧斯丁(Austin, Texas)</t>
  </si>
  <si>
    <t>鑑定並表徵銀杏樹之銀杏內酯的生物合成途徑_107-2320-B-001-025-MY3</t>
  </si>
  <si>
    <t>參加3rd International Conference on Natural Product Discovery and Development in the Genomic Era</t>
  </si>
  <si>
    <t>109/01/10-109/01/17</t>
  </si>
  <si>
    <t>嘉道時期以來的出版變化與文本流通_107-2410-H-001-015-MY3</t>
  </si>
  <si>
    <t>因執行科技部計畫「嘉道時期以來的出版變化與文本流通」需要，原預定前往美國波士頓參加「2020年美國亞洲學會年會」，後因受嚴重特殊傳染性肺炎（COVID-19）疫情影響，美國亞洲學會年會取消會議，故取消此次行程。</t>
  </si>
  <si>
    <t>109/03/09-109/03/27</t>
  </si>
  <si>
    <t>波士頓(Boston,Massachuseetts)</t>
  </si>
  <si>
    <r>
      <t>因COVID-19疫情影響，不克前往</t>
    </r>
    <r>
      <rPr>
        <sz val="10"/>
        <color indexed="8"/>
        <rFont val="標楷體"/>
        <family val="4"/>
        <charset val="136"/>
      </rPr>
      <t>，</t>
    </r>
    <r>
      <rPr>
        <sz val="10"/>
        <color indexed="8"/>
        <rFont val="新細明體"/>
        <family val="1"/>
        <charset val="136"/>
      </rPr>
      <t>此為相關手續費</t>
    </r>
    <phoneticPr fontId="4" type="noConversion"/>
  </si>
  <si>
    <t>當代中國的遺產論述、現代性與地方性的再創造_107-2410-H-001-004-MY2</t>
  </si>
  <si>
    <t>本次出國計畫原擬定將1.發表本研究計畫研究成果 2.尋找出版社出版研究計畫</t>
  </si>
  <si>
    <t>109/08/25-109/09/05</t>
  </si>
  <si>
    <t>倫敦(London)</t>
  </si>
  <si>
    <t>租稅政策下的經濟穩定性、福利與所得分配_107-2410-H-001-032-MY3</t>
  </si>
  <si>
    <t>赴美國聖地牙哥參加2020 American Economic Association Annual Meeting，並受王平教授之邀，參加White Paper meeting。</t>
  </si>
  <si>
    <t>109/01/01-109/01/07</t>
  </si>
  <si>
    <t>多年期計畫尚未結案併期末報告一併繳交</t>
  </si>
  <si>
    <t>擬真關聯結構_107-2410-H-001-112-MY2</t>
  </si>
  <si>
    <t>2020北美華人經濟學會會議</t>
  </si>
  <si>
    <t>109/01/02-109/01/07</t>
  </si>
  <si>
    <t>因子工具變數估計量與極值估計量的模型選擇準則_107-2410-H-001-031-MY3</t>
  </si>
  <si>
    <t>赴美國聖地牙哥, 參加2020美國經濟學會年會(2020 CEANA Sessions at ASSA Meeting)</t>
  </si>
  <si>
    <t>108/12/29-109/01/10</t>
  </si>
  <si>
    <t>高維問題之線上非線性降維法與應用-主成份分析的選模問題及具擴展性的幾何演算法_107-2118-M-001-012-MY3</t>
  </si>
  <si>
    <t>參加2020 Organization of Human Brain Mapping (OHBM) (2020國際人類腦圖譜組織學會年會) Annual Meeting 線上國際研討會海報發表，題目：Association between Grey Matter Volume and Altered Brain Signal Complexity in Schizophrenia</t>
  </si>
  <si>
    <t>109/06/23-109/07/03</t>
  </si>
  <si>
    <t>加拿大(Canada)</t>
  </si>
  <si>
    <t>蒙特婁(Montreal)</t>
  </si>
  <si>
    <t>後鞭毛表面蛋白質乙醯化為陰道滴蟲之致病因子(1/3)_MOST108-2320-B-001-031-</t>
  </si>
  <si>
    <t>109年3月8日至3月13日，出席美國舉行的【2020戈登研討會議】</t>
  </si>
  <si>
    <t>109/03/06-109/03/22</t>
  </si>
  <si>
    <t>Ventura, CA</t>
  </si>
  <si>
    <r>
      <t>因COVID-19疫情影響，取消出國行程</t>
    </r>
    <r>
      <rPr>
        <sz val="10"/>
        <color indexed="8"/>
        <rFont val="標楷體"/>
        <family val="4"/>
        <charset val="136"/>
      </rPr>
      <t>，</t>
    </r>
    <r>
      <rPr>
        <sz val="10"/>
        <color indexed="8"/>
        <rFont val="新細明體"/>
        <family val="1"/>
        <charset val="136"/>
      </rPr>
      <t>此為相關手續費(機票)</t>
    </r>
    <phoneticPr fontId="4" type="noConversion"/>
  </si>
  <si>
    <t>探討COMPASS和Polycomb組蛋白修飾複合體如何在巨噬細胞活化過程中平衡表觀遺傳變化之研究_MOST108-2320-B-001-007-MY2</t>
  </si>
  <si>
    <t>於109年1月26日至1月30日，出席美國舉行的【Keystone Symposium – Cancer Epigenetics】</t>
  </si>
  <si>
    <t>109/01/26-109/02/05</t>
  </si>
  <si>
    <t>Keystone, Colorado</t>
  </si>
  <si>
    <t>以全基因轉錄體探索RSV感染之標的基因，並研究基因環境交互作用對氣喘表現型的影響_MOST106-2314-B-001-007-MY3</t>
  </si>
  <si>
    <t>109年3月12日出席菲律賓馬尼拉舉行的【International Conference on Informatics and Mathermatical Sciences】</t>
  </si>
  <si>
    <t>109/03/10-109/03/13</t>
  </si>
  <si>
    <t>菲律賓(Philippines)</t>
  </si>
  <si>
    <t>馬尼拉(Manila)</t>
  </si>
  <si>
    <t>建立一個全新/簡潔/有效的第一原理計算架構以了解分子結構與振動光譜_107-2628-M-001-002-MY4</t>
  </si>
  <si>
    <t>1. 赴印度參加Symposium on Modern Approaches in Chemistry and Biology 2. 赴印度參加17th edition of the conference on Spectroscopy and Dynamics of Molecules and Clusters (SDMC)及演講</t>
  </si>
  <si>
    <t>109/02/16-109/02/25</t>
  </si>
  <si>
    <t>Kumbhalgarh, Rajasthan 新德里(New Delhi) 邦加羅爾(Bangalore)</t>
  </si>
  <si>
    <t>內含追加擴充加值國際合作國外差旅費(出席國際學術會議)</t>
  </si>
  <si>
    <t>具時間與空間上操控性的胞外泌體和細胞基因編輯與表觀遺傳調控平台_106-2320-B-001-024-MY3</t>
  </si>
  <si>
    <t>透過視訊會議參加2020國際胞外體協會研討會，並於會中提供海報演講。</t>
  </si>
  <si>
    <t>109/07/20-109/07/22</t>
  </si>
  <si>
    <t>費城(Philadelphia,Pennsylvania)</t>
  </si>
  <si>
    <t>透過線上會議方式參加為期3天之2020國際胞外體協會研討會，並與國際學者做學術交流。</t>
  </si>
  <si>
    <t>透過視訊參加第23屆美國基因與細胞治療協會年度會議(ASGCT2020)，並參加相關工作坊和與會者進行學術交流。</t>
  </si>
  <si>
    <t>109/05/12-109/05/15</t>
  </si>
  <si>
    <t>活體細胞膜奈米尺度單分子擴散研究_108-2112-M-001-038-MY3</t>
  </si>
  <si>
    <t>出席國際會議_The Biophysical Society Annual Meeting美國生物物理學會年會(地點:San Diego/美國;會議會期:20200215-19)</t>
  </si>
  <si>
    <t>109/02/14-109/02/20</t>
  </si>
  <si>
    <t>大氣化學及天文化學上關鍵分子的尖端研究－大氣化學及天文化學上關鍵分子的尖端研究(1/5)_108-2639-M-009-001-ASP</t>
  </si>
  <si>
    <t>赴泰國曼谷參加Pure and Applied Chemistry International Conference 2020 (PACCON 2020)及發表口頭報告(2/13-2/14)</t>
  </si>
  <si>
    <t>109/02/12-109/02/29</t>
  </si>
  <si>
    <t>出席國際會議:The 6th meeting for exchanging information on molecular spectroscopy(地點:日本東京/會期:20200125);受邀演講;經費來源為:科技部攻頂計畫</t>
  </si>
  <si>
    <t>109/01/23-109/01/29</t>
  </si>
  <si>
    <t>赴美國參加2020 Gordon Research Conference及應邀發表演講</t>
  </si>
  <si>
    <t>109/01/26-109/02/01</t>
  </si>
  <si>
    <t>Ventura</t>
  </si>
  <si>
    <t>利用帕金森氏症果蠅模型研究天麻如何防止Lrrk2 G2019S 突變所誘導多巴胺神經細胞退化之分子機制_108-2311-B-001-039-MY3</t>
  </si>
  <si>
    <t>前往印度浦那(PUNE)參加｢2020第五屆亞太地區果蠅研究研討會｣。</t>
  </si>
  <si>
    <t>109/01/03-109/01/11</t>
  </si>
  <si>
    <t>浦內(Pune)</t>
  </si>
  <si>
    <t>受邀參加印度浦那(PUNE)舉辦之｢2020第五屆亞太地區果蠅研究研討會｣。</t>
  </si>
  <si>
    <t>研究果蠅腦中一個記憶神經迴路的發育過程_107-2311-B-001-042-MY3</t>
  </si>
  <si>
    <t>參加在印度Pune市舉行之「第五屆亞太果蠅會議」。</t>
  </si>
  <si>
    <t>果蠅視覺系統中包裹膠細胞之發育與功能研究_107-2311-B-001-018-MY3</t>
  </si>
  <si>
    <t>參加在印度浦那(Pune)市舉行之「第五屆亞太果蠅研究會議」。</t>
  </si>
  <si>
    <t>109/01/01-109/01/11</t>
  </si>
  <si>
    <t>參加在印度Pune市舉行之｢第五屆亞太果蠅學術研討會｣。</t>
  </si>
  <si>
    <t>109/01/04-109/01/11</t>
  </si>
  <si>
    <t>人類DNA甲基轉移?修飾DNA之結構研究_108-2311-B-001-009-MY3</t>
  </si>
  <si>
    <t>加在澳洲昆布蘭隆恩市舉行之第45屆蛋白質結構功能研討會。</t>
  </si>
  <si>
    <t>109/02/06-109/02/24</t>
  </si>
  <si>
    <t>Lorne</t>
  </si>
  <si>
    <t>從分子層次探討細胞骨架如何調控傷口癒合與細胞分裂_106-2311-B-001-038-MY3</t>
  </si>
  <si>
    <t>參加「2020歐洲分子生物學會微管研究」網路視訊會議，會中將發表論文</t>
  </si>
  <si>
    <t>109/06/03-109/06/06</t>
  </si>
  <si>
    <t>德國(Germany)</t>
  </si>
  <si>
    <t>海德堡(Heidelberg)</t>
  </si>
  <si>
    <t>解析大片段非編碼核糖核酸如何調控神經發育表觀遺傳的分子機制(1/5)_109-2326-B-001-017-</t>
  </si>
  <si>
    <t>參加由CSHL所舉辦網路視訊會議:「2020 Neurodegenerative Diseases: Biology &amp; Therapeutics (Virtual)」，會議中將發表poster論文</t>
  </si>
  <si>
    <t>109/12/02-109/12/04</t>
  </si>
  <si>
    <t>E-symposia (Virtual)</t>
  </si>
  <si>
    <t>核醣核酸降解導異常致抗病毒的防禦力下降之分子機制_107-2311-B-001-045-MY2</t>
  </si>
  <si>
    <t>參加「EMBO/EMBL Symposium: The complex Life of RNA」網路視訊會議，會中將發表論文</t>
  </si>
  <si>
    <t>109/10/07-109/10/09</t>
  </si>
  <si>
    <t>色質體蛋白運輸機組的功能起源與運作機制(1/5)_108-2321-B-001-021-</t>
  </si>
  <si>
    <t>參加在美國德克薩斯州加爾維斯敦市舉行之「戈登研討會─蛋白質通過細胞膜系之運送」會議。</t>
  </si>
  <si>
    <t>109/02/22-109/03/08</t>
  </si>
  <si>
    <t>Galveston</t>
  </si>
  <si>
    <t>赴德國弗萊堡參加Symposium on Challenges in Applied Human Biometeorology發表研究成果</t>
  </si>
  <si>
    <t>109/02/26-109/03/13</t>
  </si>
  <si>
    <t>弗萊堡(freiburgim Breisgau)</t>
  </si>
  <si>
    <t>開發海洋浮游動物生物多樣性分析之DNA高通量分子條碼的最佳實踐_108-2611-M-001-001-</t>
  </si>
  <si>
    <t>期間前往美國加州聖地牙哥市參加「2020海洋研究科學委員會(SCOR)海洋浮游動物高通量分子編碼基因資料庫(MetaZooGene)WG157工作群組會議」交流(本人為海洋研究科學委員會WG157工作群組正式成員之一)及出席「2020海洋科學會議」研討會。</t>
  </si>
  <si>
    <t>109/02/14-109/02/24</t>
  </si>
  <si>
    <t>109-2914-I-001-002-A1</t>
  </si>
  <si>
    <t>赴美國夏威夷大學參加國際學術會議，發表論文。</t>
  </si>
  <si>
    <t>109/01/05-109/01/09</t>
  </si>
  <si>
    <t>超大質量黑洞研究(1/2)_108-2112-M-001-016-</t>
  </si>
  <si>
    <t>受邀赴泰國清邁出席會議、演講，並進行學術交流。</t>
  </si>
  <si>
    <t>109/03/02-109/03/05</t>
  </si>
  <si>
    <t>清邁(Chiang mai)</t>
  </si>
  <si>
    <t>運用阿塔卡瑪大型毫米及次毫米波陣列普查新生恆星及行星的質量_108-2112-M-001-003-MY2</t>
  </si>
  <si>
    <t>赴美國薛倫斯維爾(Charlottesville)美國國家電波天文台(NRAO)出席會議並發表論文。</t>
  </si>
  <si>
    <t>109/03/09-109/03/14</t>
  </si>
  <si>
    <t>薛倫斯維爾(Charlottesville)</t>
  </si>
  <si>
    <r>
      <t>因COVID-19疫情影響，取消出國行程</t>
    </r>
    <r>
      <rPr>
        <sz val="10"/>
        <color indexed="8"/>
        <rFont val="標楷體"/>
        <family val="4"/>
        <charset val="136"/>
      </rPr>
      <t>，</t>
    </r>
    <r>
      <rPr>
        <sz val="10"/>
        <color indexed="8"/>
        <rFont val="新細明體"/>
        <family val="1"/>
        <charset val="136"/>
      </rPr>
      <t>此為相關手續費</t>
    </r>
    <phoneticPr fontId="4" type="noConversion"/>
  </si>
  <si>
    <t>Further STUDIES: 史上最深的遠紅外線高紅移星系巡天--第二階段(1/3)_108-2112-M-001-014-</t>
  </si>
  <si>
    <t>赴馬來西亞吉隆坡出席會議(Global Malaysian Astronomers Convention 2020)並發表論文。</t>
  </si>
  <si>
    <t>109/03/21-109/03/26</t>
  </si>
  <si>
    <t>馬來西亞(Malaysia)</t>
  </si>
  <si>
    <t>吉隆坡(Kuala Lumpur)</t>
  </si>
  <si>
    <t>New Era of the Black Hole astrophysics with direct imaging the BH shadow with submm VLBI_108-2112-M-001-051-</t>
  </si>
  <si>
    <t>受邀赴美國夏威夷出席會議(235TH MEETING OF THE AMERICAN ASTRONOMICAL SOCIETY)並演講。</t>
  </si>
  <si>
    <t>109/01/06-109/01/09</t>
  </si>
  <si>
    <t>Atacama 大型毫米/次毫米陣列-臺灣計畫(1/3)_108-2112-M-001-048-</t>
  </si>
  <si>
    <t>赴印度加爾各答Indian Centre for Space Physics機構進行計畫相關學術研究，後赴蒂魯帕蒂(Tirupati)出席會議並發表論文。</t>
  </si>
  <si>
    <t>109/01/22-109/02/18</t>
  </si>
  <si>
    <t>蒂魯帕蒂(Tirupati) 加爾各答(Kolkata)</t>
  </si>
  <si>
    <t>超新星輻射轉移之理論模型_107-2112-M-001-044-MY3</t>
  </si>
  <si>
    <t>赴越南歸仁出席會議、發表論文，並於會前協同與會學者進行學術交流。</t>
  </si>
  <si>
    <t>109/02/09-109/02/22</t>
  </si>
  <si>
    <t>歸仁(Quy Nhon)</t>
  </si>
  <si>
    <t>恆星形成最早期的吸積過程及噴流發射_107-2119-M-001-040-MY3</t>
  </si>
  <si>
    <t>受邀赴越南歸仁(Quy Nhon)出席會議並演講。</t>
  </si>
  <si>
    <t>109/02/16-109/02/20</t>
  </si>
  <si>
    <t>從原恆星核至原恆星盤塵埃之分佈與顆粒成長_108-2112-M-001-002-MY3</t>
  </si>
  <si>
    <t>出席線上國際會議(JpGU - AGU Joint Meeting 2020: Virtual)並發表論文。</t>
  </si>
  <si>
    <t>109/07/12-109/07/16</t>
  </si>
  <si>
    <t>線上舉辦</t>
  </si>
  <si>
    <t>藉星系性質隨環境之變異性探析星系形成機制(1/3)_108-2112-M-001-011-</t>
  </si>
  <si>
    <t>赴美國夏威夷出席會議(235TH MEETING OF THE AMERICAN ASTRONOMICAL SOCIETY)並發表論文。</t>
  </si>
  <si>
    <t>109/01/03-109/01/10</t>
  </si>
  <si>
    <t>赴日本東京大學柏市(Kashiwa)校區之Kavli IPMU研究機構出席會議並發表論文，並於會前進行學術研討。</t>
  </si>
  <si>
    <t>109/01/18-109/01/29</t>
  </si>
  <si>
    <t>柏市(Kashiwa) 東京(Tokyo)</t>
  </si>
  <si>
    <t>探索宇宙邊界的塵埃宇宙與超級電腦的計算極限_108-2112-M-001-007-MY3</t>
  </si>
  <si>
    <t>受邀赴義大利塞斯托出席會議(THE INTERSTELLAR MEDIUM OF HIGH REDSHIFT GALAXIES)並演講。</t>
  </si>
  <si>
    <t>109/01/10-109/01/20</t>
  </si>
  <si>
    <t>義大利(Italy)</t>
  </si>
  <si>
    <t>塞斯托(Sesto)</t>
  </si>
  <si>
    <t>出席會議(235TH MEETING OF THE AMERICAN ASTRONOMICAL SOCIETY)並發表論文，後參與2020 Submillimeter Array Interferometry School，進行學術研討。</t>
  </si>
  <si>
    <t>108/12/22-109/01/20</t>
  </si>
  <si>
    <t>邁入老年初期的年輕成人父母之生命軌跡：文化規範與個人資源的影響_108-2410-H-001-092-</t>
  </si>
  <si>
    <t>職應邀於2020年07月11日至08月 03日赴巴西參加IV ISA Forum of Sociology學術研討會，會議主題為’ Challenges of the 21st Century: Democracy, Environment, Inequalities, Intersectionality’。職將於本次會議中擔任organizer，並於會中報告。</t>
  </si>
  <si>
    <t>109/07/11-109/08/03</t>
  </si>
  <si>
    <t>巴西(Brazil)</t>
  </si>
  <si>
    <t>阿雷格港(Porto Alegre)</t>
  </si>
  <si>
    <t>台灣社會變遷基本調查計畫-台灣社會變遷基本調查計畫第八期第(I-III)_109-2740-H-001-001-SS3</t>
  </si>
  <si>
    <t>ISSP</t>
  </si>
  <si>
    <t>109/04/23-109/05/01</t>
  </si>
  <si>
    <t>冰島(Iceland)</t>
  </si>
  <si>
    <t>雷克雅未克(Reykjavik)</t>
  </si>
  <si>
    <t>為本所科技部「台灣社會變遷基本調查計畫」協同研究人員，赴冰島參加國際社會調查計畫（International Social Survey Programme, 簡稱ISSP）召開之年會，因武漢肺炎疫情嚴峻，主辦單位3月17日取消會議，因取消航班衍生之退票費用預估1萬元，所方同意由該計畫八期一次之國外差旅費項下支應（詳附件）。</t>
  </si>
  <si>
    <t>台灣地區社會變遷基本調查研究-台灣地區社會變遷基本調查研究第七期(IV-V)_107-2420-H-001-003-SS2</t>
  </si>
  <si>
    <t>本計畫自2006年起參與東亞社會調查計畫每兩年與會員國（日本、中國、南韓）同步進行共同主題的調查，已完成之調查包含EASS2006家庭、EASS2008全球化與文化、EASS2010健康、EASS2012社會網絡、EASS2014工作與生活、EASS2016家庭、EASS2018全球化與文化等主題。此次會議各國團隊學者將討論EASS2020健康問卷等相關事務。</t>
  </si>
  <si>
    <t>109/01/11-109/01/16</t>
  </si>
  <si>
    <t>大阪(Osaka)</t>
  </si>
  <si>
    <t>當代中國循環再發的社會抗爭：歷史遺產與在地後果_107-2410-H-001-052-MY2</t>
  </si>
  <si>
    <t>赴美國參加Workshop on Global Attitudes toward China</t>
  </si>
  <si>
    <t>109/02/05-109/02/10</t>
  </si>
  <si>
    <t>本計畫自2006年起參與東亞社會調查計畫每兩年與會員國（日本、中國、南韓）同步進行共同主題的調查，已完成之調查包含EASS2006家庭、EASS2008全球化與文化、EASS2010健康、EASS2012社會網絡、EASS2014工作與生活、EASS2018文化與全球化等主題。此次會議各國團隊學者將討論EASS2020健康組問卷與其他相關事務。</t>
  </si>
  <si>
    <t>109/01/11-109/01/18</t>
  </si>
  <si>
    <t>泰雅語和布農語時制與動貌系統之議題研究_108-2410-H-001-005-</t>
  </si>
  <si>
    <t>出席The 38th Meeting of the West Coast Conference on Formal Linguistics(WCCFL 38)第三十八屆西岸形式語言學會議發表論文</t>
  </si>
  <si>
    <t>109/03/05-109/03/19</t>
  </si>
  <si>
    <t>溫哥華(Vancouver)(10/16-04/30)</t>
  </si>
  <si>
    <t>因疫情影響無法參與該會無須提出報告</t>
    <phoneticPr fontId="4" type="noConversion"/>
  </si>
  <si>
    <t>第麻紗語之音韻、 語料、 文法與詞彙_108-2410-H-001-048-MY3</t>
  </si>
  <si>
    <t>參加東北印度語言學會第11屆國際會議及第麻紗語(Dimasa)之田野調查</t>
  </si>
  <si>
    <t>109/02/05-109/02/27</t>
  </si>
  <si>
    <t>Guawahati 第麻紗</t>
  </si>
  <si>
    <t>銨基鹽對植物之營養物攝取運送與感應訊息傳導及利用的角色分析_106-2311-B-001-037-MY3</t>
  </si>
  <si>
    <t>銨鹽轉運蛋白與其調控磷酸酶之抗淹水的作用機制探討</t>
  </si>
  <si>
    <t>109/03/17-109/03/22</t>
  </si>
  <si>
    <t>野生番茄Lycopersicon peruvianum的基因編輯_108-2313-B-001-011-</t>
  </si>
  <si>
    <t>參加參加國際動植物基因組第二十八屆會議。 此次研討會與會者包含動植物領域基因體學研究相關科學家達3000人以上. 目前植物基因編輯技術CRISPR平台在動物領域已經被廣泛運用且技術成熟。但植物領域的技術建立仍有極大的進步空間。此次出席研討會除了可以與植物領域基因編輯研究團隊討論交流之外，更可以從動物領域研究者的成果中獲得新知識新知識以及啟發。</t>
  </si>
  <si>
    <t>108/12/27-109/01/18</t>
  </si>
  <si>
    <t>雜交優勢對花椰菜花球高溫發育的影響_108-2313-B-001-008-MY3</t>
  </si>
  <si>
    <t>至研討會壁報展示花椰菜相關研究結果</t>
  </si>
  <si>
    <t>109/01/10-109/01/16</t>
  </si>
  <si>
    <t>科技部專案補助</t>
  </si>
  <si>
    <t>參加工程與進化相遇：設計生物系統專題討論會</t>
  </si>
  <si>
    <t>109/01/28-109/02/04</t>
  </si>
  <si>
    <t>清奈(Chennai)</t>
  </si>
  <si>
    <t>開發用以研究複雜化學組成材料之自我學習原子尺度模擬平台_108-2112-M-001-024-MY3</t>
  </si>
  <si>
    <t>前往墨西哥參加ICPDF 2020會議並發表邀請演講</t>
  </si>
  <si>
    <t>墨西哥(Mexico)</t>
  </si>
  <si>
    <t>坎昆(Cancun)</t>
  </si>
  <si>
    <t>開發模組化整合式微流體系統 (MIMIC System) 模擬循環系統以應用於體外細胞研究_107-2628-E-001-003-MY3</t>
  </si>
  <si>
    <t>前往加拿大溫哥華參加第三十三屆IEEE微機電系統國際研討會，並發表研究之成果。</t>
  </si>
  <si>
    <t>109/01/15-109/01/26</t>
  </si>
  <si>
    <t>原子解析度之介觀尺度分子動力學模擬以探討蛋白質脂質體系統_108-2112-M-001-037-MY3</t>
  </si>
  <si>
    <t>赴美國參加The 64th Annual Meeting of the Biophysical Society國際會議，並發表論文。</t>
  </si>
  <si>
    <t>109/02/13-109/02/22</t>
  </si>
  <si>
    <t>To attend Annual Meeting 2020 Biophysical Society, San Diego, USA.</t>
  </si>
  <si>
    <t>109/02/14-109/02/21</t>
  </si>
  <si>
    <t>具環境敏感特性物質的研究(3/3)_108-2113-M-001-002-</t>
  </si>
  <si>
    <t>參加美國化學年會</t>
  </si>
  <si>
    <t>109/03/17-109/03/26</t>
  </si>
  <si>
    <t>激子在電場和磁場下與二維過渡金屬二硫化物中的費米海激發態之相互作用_108-2112-M-001-041-</t>
  </si>
  <si>
    <t>於2月4日至2月6日參加2020年SPIE Light-Emitting Devices, Materials, and Applications XXIV國際光電科技會議。</t>
  </si>
  <si>
    <t>109/01/27-109/02/16</t>
  </si>
  <si>
    <t>舊金山(San Francisco,California) Riverside</t>
  </si>
  <si>
    <t>貿易開放與威權鞏固_107-2628-H-001-002-MY3</t>
  </si>
  <si>
    <t>1. 針對貿易政策如何延長威權政體統治的相關議題，進行移地研究（2020/05/01-05/31）。 2. 參加美國政治學會年會（2019/08/28-08/31）。 3. 參加國際組織政治經濟學年會（2020/02/19-02/22）。 4. 參加美國中西部政治學會年會（2020/04/15-04/19）。 5. 參加英國政治研究學會年會（2020/04/05-04/09）</t>
  </si>
  <si>
    <t>108/08/13-109/04/08</t>
  </si>
  <si>
    <t>英國(United Kingdom) 美國(U.S.A.) 加拿大(Canada)</t>
  </si>
  <si>
    <t>愛丁堡(Edinburgh) 波士頓(Boston,Massachuseetts) 芝加哥(Chicago,Illinois) 溫哥華(Vancouver)(10/16-04/30) 華盛頓特區(Washington)</t>
    <phoneticPr fontId="4" type="noConversion"/>
  </si>
  <si>
    <t>計畫未結案併期末報告一併繳交</t>
    <phoneticPr fontId="4" type="noConversion"/>
  </si>
  <si>
    <t>中國印象調查研究：美國因素的影響評，2019-2022_108-2410-H-001-071-SS3</t>
  </si>
  <si>
    <t>該研討會不僅是美國政治學學門重大學會之一，同時也是國際性的指標會議，每年吸引上萬位各國學術先進、專家學者，以及碩博士生參與。</t>
  </si>
  <si>
    <t>109/09/10-109/09/10</t>
  </si>
  <si>
    <t>擬於本次會議發表研究計畫成果。</t>
  </si>
  <si>
    <t>109/09/10-109/09/12</t>
  </si>
  <si>
    <t>因COVID-19疫情影響，本次會議改為線上舉行，但仍須繳交會議註冊費</t>
    <phoneticPr fontId="4" type="noConversion"/>
  </si>
  <si>
    <t>醛縮?A非酵素功能引起肺癌細胞幹細胞化及化療抗藥性之分子機轉探討_107-2320-B-001-016-MY3</t>
  </si>
  <si>
    <t>參加Experimental Biology 2020年會張貼海報 ，大會因新冠肺炎疫情取消活動，將核銷退票費等無法退款之損失。</t>
  </si>
  <si>
    <t>109/03/31-109/04/09</t>
  </si>
  <si>
    <t>針對腫瘤偏酸微環境內PD-L1的抗體優化以應用於癌症免疫療法_MOST108-2320-B-001-010</t>
  </si>
  <si>
    <t>出席27th International Molecular Medicine Tri-Conference並發表論文； 經費來源：科技部計畫與基因體研究計畫。</t>
  </si>
  <si>
    <t>109/02/29-109/03/09</t>
  </si>
  <si>
    <t>鑑定有聯化合物的抗癌功效及在癌症治療可篩選病患的生物標誌物_28T-1070222-1C</t>
  </si>
  <si>
    <t>原訂參加Experimental Biology 2020 年會，大會因新冠肺炎疫情取消活動，將核銷無法退款之投稿費。</t>
  </si>
  <si>
    <t>表觀遺傳調節因子N-α-乙醯轉移?10蛋白於成年海馬迴神經元功能之探討_107-2311-B-001-035-MY3</t>
  </si>
  <si>
    <t>參加美國冷泉港市國際研討會Neuronal Circuits，大會因新冠肺炎疫情改為視訊會議。</t>
  </si>
  <si>
    <t>109/03/12-109/03/23</t>
  </si>
  <si>
    <t>冷泉港市</t>
  </si>
  <si>
    <t>功能與分子層面剖析蛋白O 連結N-乙醯胺基葡萄糖化於B細胞發育與分化之重要性_106-2320-B-001-011-MY3</t>
  </si>
  <si>
    <t>原訂參加美國Honolulu舉行的IMMUNOLOGY 2020 Meeting國際會議，因COVID-19疫情取消活動，將核銷無法退款之投稿費。</t>
  </si>
  <si>
    <t>109/05/08-109/05/12</t>
  </si>
  <si>
    <t>原訂參加Experimental Biology 2020 年會，大會因新冠肺炎疫情取消活動，將核銷無法退款之機票款及投稿費。</t>
  </si>
  <si>
    <t>700953賴孚權科技部補助赴美出席會議(MOST 109-2914-I-001-005-A1)</t>
  </si>
  <si>
    <t>原受邀擬參加「26th Pacific Conference of the RSAI &amp; 59th Annual Meeting of the WRSA」國際研討會，擔任 Keynote Speaker並發表論文，後接獲通知取消會議，報支無法成行衍生之機票退票手續費。</t>
  </si>
  <si>
    <t>109/03/16-109/03/22</t>
  </si>
  <si>
    <t>李氏基金會2010年獎助金_</t>
  </si>
  <si>
    <t>赴德國法蘭克福於EBS Law School進行5場演講，至柏林蒐集研究相關資料，並分別前往漢堡Bucerius Law School、柏林洪堡大學、柏林自由大學進行演講，同時與該地外國學者進行學術交流。</t>
  </si>
  <si>
    <t>109/01/13-109/01/29</t>
  </si>
  <si>
    <t>柏林(Berlin) 法蘭克福(Frankfurt) 漢堡(Hamburg)</t>
  </si>
  <si>
    <t>利用軟硬體協同設計改善非揮發性記憶體效能_107-2218-E-001-004-MY3</t>
  </si>
  <si>
    <t>參加會議：Design, Automation and Test in Europe Conference，並發表論文</t>
  </si>
  <si>
    <t>109/03/07-109/03/14</t>
  </si>
  <si>
    <t>格勒諾布爾</t>
  </si>
  <si>
    <t>協作式邊緣運算：資源管理與永續經營_108-2628-E-001-003-MY3</t>
  </si>
  <si>
    <t>參加會議：International Conference on Computing, Networking and Communications (ICNC 2020)，並發表論文</t>
  </si>
  <si>
    <t>109/02/17-109/02/22</t>
  </si>
  <si>
    <t>以多模式大數據分析與分散式區塊鏈運算開發智慧型店頭市場交易與機器人理財系統(3/3)_MOST108-2218-E-009-049</t>
  </si>
  <si>
    <t>參加會議：ICASSP(已報名但由於疫情關係改為線上會議)，發表論文：SELF-ATTENTIVE SENTIMENTAL SENTENCE EMBEDDING FOR SENTIMENT ANALYSIS</t>
  </si>
  <si>
    <t>綠能與智能生活的推手：使用無線能量採集之物聯網技術_106-2628-E-001-001-MY3</t>
  </si>
  <si>
    <t>參加會議：The 2020 IEEE 91st Vehicular Technology Conference (VTC2020-Spring) ，並發表論文</t>
  </si>
  <si>
    <t>109/05/25-109/05/28</t>
  </si>
  <si>
    <t>比利時(Belgium)</t>
  </si>
  <si>
    <t>安特衛普(Antwerp)</t>
  </si>
  <si>
    <t>利用多模態資訊融合於人臉反欺騙及偽造內容偵測_108-2218-E-001-004-MY2</t>
  </si>
  <si>
    <t>參加會議：International Conference on Computer Vision and Pattern Recognition並發表論文Learning Sparse Neural Networks Through Mixture-Distributed Regularization</t>
  </si>
  <si>
    <t>109/06/14-109/06/19</t>
  </si>
  <si>
    <t>西雅圖(Seattle,Washington)</t>
  </si>
  <si>
    <t>人工智慧DJ開源專案：全自動個人化DJ_107-2221-E-001-013-MY2</t>
  </si>
  <si>
    <t>參加會議：The 2020 Joint Conference on AI Music Creativity並發表論文</t>
  </si>
  <si>
    <t>109/10/19-109/10/23</t>
  </si>
  <si>
    <t>隱私資料保護之合成資料技術研究_107-2221-E-001-016-MY2</t>
  </si>
  <si>
    <t>參加會議：The International Conference on System Science and Engineering 2020 (ICSSE 2020)，並發表論文：A Signal Fusion-based ANN Algorithm for Fault Diagnosis of Rotating Machinery</t>
  </si>
  <si>
    <t>109/08/31-109/09/03</t>
  </si>
  <si>
    <t>高松市</t>
  </si>
  <si>
    <t>參加會議：IEEE 22nd International Workshop on Multimedia Signal Processing (MMSP 2020)，並發表論文</t>
  </si>
  <si>
    <t>109/09/21-109/09/24</t>
  </si>
  <si>
    <t>芬蘭(Finland)</t>
  </si>
  <si>
    <t>坦佩雷</t>
  </si>
  <si>
    <t>參加會議：ICASSP(已報名但由於疫情關係改為線上會議不會出國)，並發表論文：ADDRESSING THE CONFOUNDS OF ACCOMPANIMENTS IN SINGER IDENTIFICATION</t>
  </si>
  <si>
    <t>GIDA: 實現智慧物聯網的節能、智能、分散、自主裝置間/機器間通訊_109-2221-E-001-013-MY3</t>
  </si>
  <si>
    <t>參加會議：IEEE International Symposium on Personal, Indoor and Mobile Radio Communications (PIMRC) 2020，並發表論文</t>
  </si>
  <si>
    <t>人工智慧技術研發與其在金融上之應用委託研究計畫_32T-1080318-1Q</t>
  </si>
  <si>
    <t>參加會議：The 58th Annual Meeting of the Association for Computational Linguistics（2020 ACL）(因COVID-19影響改為線上會議。)</t>
  </si>
  <si>
    <t>109/07/05-109/07/10</t>
  </si>
  <si>
    <t>補助單位未要求繳交,故無須提出報告</t>
    <phoneticPr fontId="4" type="noConversion"/>
  </si>
  <si>
    <t>中央研究院強化智慧財產權管理及技術授權推廣能力計畫_MOST 108-3111-Y-001-054</t>
  </si>
  <si>
    <t>參與大學技轉經理人協會2020年年會，與各大學技轉辦公室交流</t>
  </si>
  <si>
    <t>109/03/06-109/03/14</t>
  </si>
  <si>
    <r>
      <t>因COVID-19疫情影響，會議取消</t>
    </r>
    <r>
      <rPr>
        <sz val="10"/>
        <color indexed="8"/>
        <rFont val="標楷體"/>
        <family val="4"/>
        <charset val="136"/>
      </rPr>
      <t>，</t>
    </r>
    <r>
      <rPr>
        <sz val="10"/>
        <color indexed="8"/>
        <rFont val="新細明體"/>
        <family val="1"/>
        <charset val="136"/>
      </rPr>
      <t>此為相關手續費及年會年費</t>
    </r>
    <phoneticPr fontId="4" type="noConversion"/>
  </si>
  <si>
    <t>參與大學技轉經理人協會2020年年會</t>
  </si>
  <si>
    <t>2020年大學技轉經理人協會(Association of University Technology Managers(AUTM))</t>
  </si>
  <si>
    <t>108年挪威KSAT接收站之福衛五號原始影像資料回傳自動化系統維護_NSPO-S-108017</t>
  </si>
  <si>
    <t>沈一慧擬赴馬來西亞布城(Malaysia, Purtajaya)出席108年7月22日至26日舉辦之「48th APAN Meeting」國際會議。</t>
  </si>
  <si>
    <t>108/07/22-108/07/27</t>
  </si>
  <si>
    <t>Putrajaya(布城)</t>
  </si>
  <si>
    <t>108年度應付帳款多預估4,700元</t>
    <phoneticPr fontId="4" type="noConversion"/>
  </si>
  <si>
    <t>林誠謙擬赴馬來西亞布城(Malaysia, Purtajaya)出席108年7月22日至26日舉辦之「48th APAN Meeting」國際會議。</t>
    <phoneticPr fontId="4" type="noConversion"/>
  </si>
  <si>
    <t>00050154</t>
    <phoneticPr fontId="4" type="noConversion"/>
  </si>
  <si>
    <t>演化上保留之重疊蛋白質基因的生物資訊及細胞功能研究_MOST108-2311-B-001-015-</t>
  </si>
  <si>
    <t>108年12月18日至12月21日，出席於韓國首爾舉行的【2019第六屆國際生物資訊研究與應用研討會】</t>
  </si>
  <si>
    <t>108/12/18-108/12/23</t>
  </si>
  <si>
    <t>108年度應付帳款多預估14,406元</t>
    <phoneticPr fontId="4" type="noConversion"/>
  </si>
  <si>
    <t>參加美國紐約冷泉港辦理之「Cold Spring Harbor course:
Computational Genomics」</t>
    <phoneticPr fontId="4" type="noConversion"/>
  </si>
  <si>
    <t>108年12月4日至11日於美國紐約冷泉港辦理之「Cold Spring Harbor course:
Computational Genomics」</t>
    <phoneticPr fontId="4" type="noConversion"/>
  </si>
  <si>
    <t>108/12/3 - 108/12/13</t>
    <phoneticPr fontId="4" type="noConversion"/>
  </si>
  <si>
    <t>美國(U.S.A.)</t>
    <phoneticPr fontId="4" type="noConversion"/>
  </si>
  <si>
    <t>冷泉港</t>
    <phoneticPr fontId="4" type="noConversion"/>
  </si>
  <si>
    <t>王桂馨博士於出國之際，因急病須立即開刀，因而取消出國行程</t>
    <phoneticPr fontId="4" type="noConversion"/>
  </si>
  <si>
    <t>Galectin-4-RTK-MYC功能模組在驅動攝護腺癌轉移的角色及其標靶草藥之研究_107-2320-B-001-006-MY3</t>
  </si>
  <si>
    <t>參加美國西雅圖參加國際學術研討會， Cell Symposia: Hallmarks of Cancer</t>
  </si>
  <si>
    <t>108/11/09-108/11/22</t>
  </si>
  <si>
    <t>收回108年度溢領旅費，故以人工填寫</t>
    <phoneticPr fontId="4" type="noConversion"/>
  </si>
  <si>
    <t>參加會議並發表壁報論文</t>
  </si>
  <si>
    <t xml:space="preserve"> 參加2019 The Protein Society Annual Meeting發表壁報論文</t>
  </si>
  <si>
    <t>108/05/01-108/09/01</t>
  </si>
  <si>
    <t>108年度應付帳款多預估464元</t>
    <phoneticPr fontId="4" type="noConversion"/>
  </si>
  <si>
    <t>介觀尺度自組裝結構之多尺度模擬_105-2112-M-001-009-MY3</t>
  </si>
  <si>
    <t>參加Telluride Workshop for Computational Materials Chemistry並發表演講</t>
  </si>
  <si>
    <t>106/07/31-106/08/16</t>
  </si>
  <si>
    <t>Telluride 洛斯阿拉莫斯</t>
  </si>
  <si>
    <t>支出收回</t>
    <phoneticPr fontId="4" type="noConversion"/>
  </si>
  <si>
    <t>國家生物多樣性監測與報告系統規劃-海域_107農科-10.9.6-務-e1(1)</t>
  </si>
  <si>
    <t>代替同仁柯智仁先生於生物多樣性資訊學研討會 TDWG 2018 發表海報</t>
  </si>
  <si>
    <t>107/08/25-107/09/02</t>
  </si>
  <si>
    <t>但尼丁(Dunedin)</t>
  </si>
  <si>
    <t>跨年度支出收回, 報告於結案時一併繳交</t>
    <phoneticPr fontId="4" type="noConversion"/>
  </si>
  <si>
    <t>深度減碳，邁向永續社會計畫</t>
  </si>
  <si>
    <t>新興農業生物技術</t>
  </si>
  <si>
    <t>研發能量提升計畫-農業生物科技研究中心(ABRC)</t>
  </si>
  <si>
    <t>新興農業生物技術AS‐KPQ‐109‐ITAR‐10 整合基因體與生物資訊分析探討甘藍與花椰菜於高溫與淹水的基因調節</t>
  </si>
  <si>
    <t>109/02/20-109/03/01</t>
  </si>
  <si>
    <t>Tucson, Arizona</t>
  </si>
  <si>
    <t>中研院南部院區鋰電池儲能系統開發與新世代全固態電池材料研發計畫</t>
  </si>
  <si>
    <t>資料安全研發及人才培育計畫</t>
  </si>
  <si>
    <t>研發能量提升計畫-資訊科技創新研究中心(CITI)</t>
  </si>
  <si>
    <t>參加會議：網格密碼學:幾何演算硬度探討研習(Lattices: Geometry, Algorithms and Hardness Workshop)、後量子密碼學分析研習(Quantum Cryptanalysis of Post-Quantum Cryptography)</t>
  </si>
  <si>
    <t>109/02/18-109/02/26</t>
  </si>
  <si>
    <t>柏克萊(Brkeley, California)</t>
  </si>
  <si>
    <t>臺灣人體生物資料庫計畫</t>
  </si>
  <si>
    <t>歐亞美洲</t>
  </si>
  <si>
    <t>科研環境領航計畫-生物化學研究所(IBC)</t>
  </si>
  <si>
    <t>原訂於109年4月3日至7日期間赴San Diego, California參加Experimental Biology (EB) 2020會議進行口頭與海報發表。</t>
  </si>
  <si>
    <t>109/04/03-109/04/07</t>
  </si>
  <si>
    <t>訪問</t>
  </si>
  <si>
    <t>接受補助或委託子計畫</t>
  </si>
  <si>
    <t>歐亞美非紐澳</t>
  </si>
  <si>
    <t>模p志村族及德林費模空間之幾何(余家富)_107-2115-M-001-001-MY2</t>
  </si>
  <si>
    <t>受邀出國訪問研究：日本 RIMS, Kyoto University</t>
  </si>
  <si>
    <t>109/01/28-109/02/18</t>
  </si>
  <si>
    <t>京都(Kyoto)</t>
  </si>
  <si>
    <t>赴美國土桑亞利桑那大學參與DESC 2020 Winter Meeting，進行計畫相關學術研討。</t>
  </si>
  <si>
    <t>109/01/21-109/02/04</t>
  </si>
  <si>
    <t>土桑(Tucson, Arizona)</t>
  </si>
  <si>
    <t>赴美國夏威夷希羅島(Hilo)協助東亞天文台(EAO)天文計畫相關運轉事宜，以利發展在臺研究計畫進度。</t>
  </si>
  <si>
    <t>109/01/24-109/02/18</t>
  </si>
  <si>
    <t>速霸陸主焦點光譜儀Cobra模組測試_SUB10703</t>
  </si>
  <si>
    <t>赴德國加興歐洲南方天文台(ESO)及荷蘭馬斯垂克Janssen Precision Engineering(JPE)機構進行計畫相關學術研討。</t>
  </si>
  <si>
    <t>109/02/03-109/02/10</t>
  </si>
  <si>
    <t>德國(Germany) 荷蘭(Netherlands)</t>
  </si>
  <si>
    <t>加興(Garching) 馬斯垂克(Maastricht)</t>
  </si>
  <si>
    <t>淮橘為枳：合作機制的跨國實驗比較分析_107-2410-H-001-003-SS2</t>
  </si>
  <si>
    <t>赴東京工業大學進行研究與訪問</t>
  </si>
  <si>
    <t>109/01/06-109/02/03</t>
  </si>
  <si>
    <t>訪問，邀請單位：SMU LARC</t>
  </si>
  <si>
    <t>109/01/14-109/02/16</t>
  </si>
  <si>
    <t>研發能量提升計畫-環境變遷研究中心(RCEC)</t>
  </si>
  <si>
    <t>至美國加州大學柏克萊分校地理系及大氣科學中心研究訪問。</t>
  </si>
  <si>
    <t>109/03/10-109/03/29</t>
  </si>
  <si>
    <t>新興農業生物技術計畫</t>
  </si>
  <si>
    <t>日本</t>
  </si>
  <si>
    <t>進修</t>
  </si>
  <si>
    <t>前往日本Spring8進行X-ray繞射數據收集</t>
  </si>
  <si>
    <t>109/01/31-109/02/03</t>
  </si>
  <si>
    <t>兵庫縣(Hyogo)</t>
  </si>
  <si>
    <t>高階分析儀器的自研自製與自用</t>
  </si>
  <si>
    <t>研究</t>
  </si>
  <si>
    <t>培育科技菁英計畫</t>
  </si>
  <si>
    <t>人文組年輕學者進修計畫</t>
  </si>
  <si>
    <t>歐美亞澳洲</t>
  </si>
  <si>
    <t>培育科技菁英計畫-歐美研究所(EA)</t>
  </si>
  <si>
    <t>執行「中央研究院人文社會科學組年輕學者赴國外進修計畫」，赴麻省理工學院語言學及哲學系 (Department of Linguistics and Philosophy, Massachusetts Institute of Technology）研究進修一年。</t>
  </si>
  <si>
    <t>109/01/17-109/05/06</t>
  </si>
  <si>
    <t>劍橋(Cambridge,Massachusetts)</t>
  </si>
  <si>
    <t>與國外頂尖大學合作培訓博士後人員</t>
  </si>
  <si>
    <t>培育科技菁英計畫-細胞與個體生物學研究所(ICOB)</t>
  </si>
  <si>
    <t>執行中研院與美國頂尖大學合作計畫</t>
  </si>
  <si>
    <t>109/01/10-110/01/12</t>
  </si>
  <si>
    <t>戴維斯(Davis, California)</t>
  </si>
  <si>
    <t>奉核定補助出國期間為109/1/13-111/1/12共計2年，為核銷去程機票款繳交報告</t>
  </si>
  <si>
    <t>赴美國加州大學聖地牙哥分校執行「中央研究院與美國頂尖大學及研究機構人才培育合作計畫」</t>
  </si>
  <si>
    <t>109/12/17-109/12/18</t>
  </si>
  <si>
    <t>獎助院內人員短期赴國外學術研究機構合作研究試行計畫</t>
  </si>
  <si>
    <t>培育科技菁英計畫-化學研究所(Chem)</t>
  </si>
  <si>
    <t>本人將代表實驗室赴德國萊尼茨光子技術研究所(Leibniz Institute of Photonic Technology)進行短期的學術合作研究</t>
  </si>
  <si>
    <t>109/02/29-109/06/08</t>
  </si>
  <si>
    <t>吉納(Jena)</t>
  </si>
  <si>
    <t>培育科技菁英計畫-生物醫學科學研究所(IBMS)</t>
  </si>
  <si>
    <t>鄭宇哲前往美國威斯康辛大學麥迪遜校區執行非人類靈長類動實及觀學習新技術及實驗步驟。</t>
  </si>
  <si>
    <t>109/11/13-109/11/20</t>
  </si>
  <si>
    <t>麥迪遜</t>
  </si>
  <si>
    <t>培育科技菁英計畫-農業生物科技研究中心(ABRC)</t>
  </si>
  <si>
    <t>赴美國東蘭辛市密西根州立大學短期研究</t>
  </si>
  <si>
    <t>109/01/15-109/03/15</t>
  </si>
  <si>
    <t>東蘭辛市</t>
  </si>
  <si>
    <t>獎助院內年輕學者赴國外參加國際學術會議試行計畫</t>
  </si>
  <si>
    <t>培育科技菁英計畫-地球科學研究所(Earth)</t>
  </si>
  <si>
    <t>108/12/04-108/12/17</t>
  </si>
  <si>
    <t>培育科技菁英計畫-資訊科學研究所(IIS)</t>
  </si>
  <si>
    <t>GBA109AR252-03(20/33)_AAAI20</t>
  </si>
  <si>
    <t>109/02/06-109/02/15</t>
  </si>
  <si>
    <t>培育科技菁英計畫-植物暨微生物學研究所(IPMB)</t>
  </si>
  <si>
    <t>2020 Plant Biology線上會議</t>
  </si>
  <si>
    <t>109/07/27-109/07/31</t>
  </si>
  <si>
    <t>培育科技菁英計畫-生物化學研究所(IBC)</t>
  </si>
  <si>
    <t>參加Autophagy in Stress, Development and Disease Gordon Research Conference</t>
  </si>
  <si>
    <t>109/03/07-109/03/21</t>
  </si>
  <si>
    <t>培育科技菁英計畫-生物多樣性研究中心(BIODIV)</t>
  </si>
  <si>
    <t>申請人在該研討會將有兩則發表，其一為博士論文研究; 其二為，申請人與其團隊推動的公民科學計畫「海龜點點名」的調查成果。參加此會議，除了能增加學術研究成果的曝光度，也能分享台灣海龜保育和公民科學的推廣經驗，符合研討會的宗旨，鼓勵科學家與當地居民一起保育海龜的目標。</t>
  </si>
  <si>
    <t>109/03/10-109/03/22</t>
  </si>
  <si>
    <t>哥倫比亞(Colombia)</t>
  </si>
  <si>
    <t>迦太基娜(Cartagena)</t>
  </si>
  <si>
    <t>本次因公出國是為參加於美國聖地牙哥舉辦之第二十八屆國際動植物基因體會議，此為世界最大的國際動植物基因體會議，參加人數逾三千人。</t>
  </si>
  <si>
    <t>109/01/09-109/01/20</t>
  </si>
  <si>
    <t>培育科技菁英計畫-應用科學研究中心(RCAS)</t>
  </si>
  <si>
    <t>培育科技菁英計畫-資訊科技創新研究中心(CITI)</t>
  </si>
  <si>
    <t>參加會議：IEEE International Conference on Communications（改為線上會議）並發表論文</t>
  </si>
  <si>
    <t>歐亞美澳非</t>
  </si>
  <si>
    <t>在ATLAS實驗搜索新物理與希格斯玻色子並且參與Phase-2探測器升級-在ATLAS實驗搜索新物理與希格斯玻色子並且參與Phase-2探測器升級_107-2119-M-001-016-MY3</t>
  </si>
  <si>
    <t>訪問學者馬茲尼博士（Rachid Mazini）自2020年1月1日起至2020年7月31日於瑞士日內瓦「歐洲核子研究組織」進行專題研究、研習專業知識及技能。</t>
  </si>
  <si>
    <t>109/01/01-109/07/31</t>
  </si>
  <si>
    <t>瑞士(Switzerland)</t>
  </si>
  <si>
    <t>日內瓦(Geneva)</t>
  </si>
  <si>
    <t>巴基斯坦籍博士生李杉拉先生（Shahzad Ali）自2020年1月1日起至2020年7月31日於瑞士日內瓦之「歐洲核子研究組織」進行專題研究、研習專業知識及技能。</t>
  </si>
  <si>
    <t>博士後研究梅圖琳小姐（Tulin Mete）自2019年8月1日起至2020年7月31日持續長駐瑞士日內瓦「歐洲核子研究組織」從事研究工作。</t>
  </si>
  <si>
    <t>108/08/01-109/07/31</t>
  </si>
  <si>
    <t>以太空高能粒子偵測器探索宇宙_108-2112-M-001-053-MY3</t>
  </si>
  <si>
    <t>長期派駐中央大學物理系博士生李瑪莎小姐自2020/4/1-2020/10/31赴瑞士日內瓦實驗室參與AMS研究計劃</t>
  </si>
  <si>
    <t>109/04/01-109/12/31</t>
  </si>
  <si>
    <t>以太空高能粒子偵測器探索宇宙_MOST108-2112-M-001-053-MY3</t>
  </si>
  <si>
    <t>渠朝義先生(大陸籍)，於2020年2月1日至2020年7月31日赴瑞士日內瓦歐洲粒子物理研究中心(CERN)進行合作計劃之電腦模擬及數據分析等研究工作。</t>
  </si>
  <si>
    <t>109/02/01-109/07/31</t>
  </si>
  <si>
    <t>宇宙暴脹的重力波 II(1/2)_108-2112-M-001-008-</t>
  </si>
  <si>
    <t>應邀前往美國賓州州立大學「宇宙學和引力研究所」進行學術研究工作。</t>
  </si>
  <si>
    <t>109/02/15-109/05/10</t>
  </si>
  <si>
    <t>University Park</t>
  </si>
  <si>
    <t>探索多信息宇宙-從參與重力波天文台的建設到大型巡天望遠鏡(3/5)_MOST108-2628-M-007-005-RSP</t>
  </si>
  <si>
    <t>前往日本富山從事KAGRA計畫相關實驗架設之研究工作</t>
  </si>
  <si>
    <t>109/08/08-109/08/31</t>
  </si>
  <si>
    <t>富山</t>
  </si>
  <si>
    <t>盧森泉先生(大陸籍)，於2020年3月1日至2020年12月31日赴瑞士日內瓦進行合作計劃之電腦模擬及數據分析等研究工作</t>
  </si>
  <si>
    <t>109/03/01-109/12/31</t>
  </si>
  <si>
    <t>擬派遣博士後渠朝義先生(大陸籍)，於2020年8月1日至2020年10月31日赴瑞士日內瓦(CERN)進行合作計劃之電腦模擬及數據分析等研究工作</t>
  </si>
  <si>
    <t>109/08/01-109/12/31</t>
  </si>
  <si>
    <t>ATLAS New Small Wheel 探測器運行與新物理現象搜尋暨CEPC環形加速器電子對撞實驗LumiCal矽晶量能器對Higg玻子生成反應截面測量(1/3)_108-2112-M-001-021-</t>
  </si>
  <si>
    <t>本所博士後王子瑞先生於2020年2月1日至2021年7月31日赴瑞士日內瓦歐洲粒子物理 研究中心(CERN)從事ATLAS實驗研究工作。</t>
  </si>
  <si>
    <t>109/02/01-109/12/31</t>
  </si>
  <si>
    <t>副研究員王嵩銘先生擬於2020年1月13日至12月18日止赴「歐洲核子研究組織」進行專題研究、研習專業知識及技能。</t>
  </si>
  <si>
    <t>109/01/13-109/12/18</t>
  </si>
  <si>
    <t>109年度應付帳款多預估8,544元</t>
    <phoneticPr fontId="4" type="noConversion"/>
  </si>
  <si>
    <t>以阿爾法磁譜儀和大規模低溫重力波望遠鏡挑戰基本物理與宇宙論-3_108-2112-M-001-022-</t>
  </si>
  <si>
    <t>本所達克漢博士擬於2019年12月30日至2020年10月31日前往日本富山參與ＫＡＧＲＡ計畫研究工作，進行雷射校正系統校正工作。</t>
  </si>
  <si>
    <t>108/12/30-109/10/31</t>
  </si>
  <si>
    <t>透過Drell-Yan過程量測核?l與介子的夸克多維度分布(II)_107-2119-M-001-027-</t>
  </si>
  <si>
    <t>約聘助理謝佳諭小姐將於2020年1月6日起至2020年1月31日止前往瑞士日內瓦之「歐洲粒子物理研究中心」（European Organization for Nuclear Research，以下簡稱CERN）從事研究工作，進行專題研究並增強對該領域之專業知識和技。</t>
  </si>
  <si>
    <t>109/01/06-109/01/31</t>
  </si>
  <si>
    <t>本所研究員灰野禎一博士擬於2020年1月8日至2月10日前往日本富山進行KAGRA天文台系統特性化之實驗工作並返台參與工作會議。</t>
  </si>
  <si>
    <t>109/01/08-109/02/10</t>
  </si>
  <si>
    <t>究員侯書雲先生擬於2020年02月02日至02月08日前往瑞士日內瓦歐洲粒子物理研究中心(CERN)從事ATLAS計畫研究工作。</t>
  </si>
  <si>
    <t>為研究需要，擬派本所博士後研究羅令崴先生於2020年2月17日至2月27日前往日本富山參與KAGRA研究計畫相關工作，進行KAGRA實驗操作。</t>
  </si>
  <si>
    <t>109/02/17-109/02/27</t>
  </si>
  <si>
    <t>前往日本茨城縣東海村「日本高能加速器研究機構理論中心」（簡稱KEK）之J-PARC進行學術及技術交流。</t>
  </si>
  <si>
    <t>109/04/07-109/04/12</t>
  </si>
  <si>
    <t>茨城縣筑波市（Tsukuba, Ibaraki）</t>
  </si>
  <si>
    <t>臺日(JP)雙邊協議型擴充加值(add-on)國際合作研究計畫-建構10奈米解析度之X光斷層攝影術_108-2923-M-001-008-MY2</t>
  </si>
  <si>
    <t>前往赴日本兵庫縣SPring-8進行進研究。</t>
  </si>
  <si>
    <t>109/02/05-109/02/21</t>
  </si>
  <si>
    <t>兵庫</t>
  </si>
  <si>
    <t>前往日本茨城縣東海村「日本高能加速器研究機構理論中心」（簡稱KEK）之J-PARC進行專題研究、研習專業知識及技能。</t>
  </si>
  <si>
    <t>109/02/03-109/04/10</t>
  </si>
  <si>
    <t>茨城縣（Ibaraki, Japan）</t>
  </si>
  <si>
    <t>為研究需要，本所研究員灰野禎一博士擬於2020年4月15日至4月22日前往日本富山進行KAGRA天文台系統特性化之實驗工作。</t>
  </si>
  <si>
    <t>109/04/15-109/04/22</t>
  </si>
  <si>
    <t>本所研究生（碩士生）黃筠淨小姐於2020年2月17日至2月28日前往日本富山參與KAGRA研究計畫相關工作，進行KAGRA實驗操作。</t>
  </si>
  <si>
    <t>109/02/17-109/02/28</t>
  </si>
  <si>
    <t>維磁鏈與二維竹籃結構材料單晶成長與物性研究_108-2112-M-001-049-MY2</t>
  </si>
  <si>
    <t>赴印度清奈Centre for nanoscience and technology - Anna University研究。</t>
  </si>
  <si>
    <t>109/03/03-109/03/22</t>
  </si>
  <si>
    <t>以鈾鉛定年法與鍶-釹-鉿同位素探討中亞造山帶南部前寒武紀大陸地殼增生_108-2923-M-001-005-MY3</t>
  </si>
  <si>
    <t>赴越南野外地質考察及採樣。</t>
  </si>
  <si>
    <t>109/01/19-109/02/18</t>
  </si>
  <si>
    <t>河內(Hanoi) Dien Bien Phu(奠邊府市) Nghia Dan district 胡志明市(Ho Chi Minh City) Vung Tau(頭頓市)</t>
  </si>
  <si>
    <t>至菲律賓討論氣象局海底電纜呂宋上陸相關事宜及合作備忘錄簽署</t>
  </si>
  <si>
    <t>109/01/19-109/01/22</t>
  </si>
  <si>
    <t>109/02/03-109/02/22</t>
  </si>
  <si>
    <t>赴越南野外地質考察及採樣</t>
    <phoneticPr fontId="4" type="noConversion"/>
  </si>
  <si>
    <t>第一過渡系元素與同位素之高溫地球化學研究_105-2628-M-001-002-MY4</t>
  </si>
  <si>
    <t>赴越南野外地質考察及採樣</t>
  </si>
  <si>
    <t>赴東京工業大學地球與生命研究所拜訪Shigenori Maruyama教授，討論合作研究亞洲造山作用有關事宜</t>
  </si>
  <si>
    <t>109/02/01-109/02/05</t>
  </si>
  <si>
    <t>運用於"沉香或植物學相關研究及學術活動之補助經費"之捐贈款</t>
  </si>
  <si>
    <t>因研究需要，出差到泰國沈香樹產地進行移地研究，並採集樣品。</t>
  </si>
  <si>
    <t>109/02/05-109/02/08</t>
  </si>
  <si>
    <t>經費來源：蕭元丁先生捐贈款</t>
  </si>
  <si>
    <t>340599 EMBO補助款</t>
  </si>
  <si>
    <t>赴日本東京大學進行學術討論會</t>
  </si>
  <si>
    <t>108/12/28-109/01/05</t>
  </si>
  <si>
    <t>巴布亞新幾內亞Mussau群島Lapita陶器岩象分析_MOST 106-2410-H-001-023-MY2</t>
  </si>
  <si>
    <t>因執行科技部計畫「巴布亞新幾內亞Mussau群島Lapita陶器岩象分析」需要，前往美國亞歷桑納大學人類學學院David Killick教授實驗室進行移地研究及切片分析。</t>
  </si>
  <si>
    <t>109/02/01-109/02/27</t>
  </si>
  <si>
    <t>土桑</t>
  </si>
  <si>
    <t>動物標本製作技術與展示概念之發展與流傳：以法、英、美、中自然史博物館為對象的調查_106-2410-H-001-068-MY3</t>
  </si>
  <si>
    <t>因執行科技部計畫「動物標本製作技術與展示概念之發展與流傳：以法、英、美、中自然史博物館為對象的調查」需要，前往法國巴黎自然史博物館總圖書館進行移研究及蒐集資料。</t>
  </si>
  <si>
    <t>109/01/13-109/03/01</t>
  </si>
  <si>
    <t>巴黎(Paris)</t>
  </si>
  <si>
    <t>從逃避國家到政治整納：菲律賓邊界的布卡洛(伊隆戈) 人_108-2410-H-001-083-MY2</t>
  </si>
  <si>
    <t>收集研究計畫所需民族誌資料</t>
  </si>
  <si>
    <t>109/02/11-109/02/25</t>
  </si>
  <si>
    <r>
      <t>因COVID-19疫情影響，研究取消</t>
    </r>
    <r>
      <rPr>
        <sz val="10"/>
        <color indexed="8"/>
        <rFont val="標楷體"/>
        <family val="4"/>
        <charset val="136"/>
      </rPr>
      <t>，</t>
    </r>
    <r>
      <rPr>
        <sz val="10"/>
        <color indexed="8"/>
        <rFont val="新細明體"/>
        <family val="1"/>
        <charset val="136"/>
      </rPr>
      <t>此為相關簽證費</t>
    </r>
    <phoneticPr fontId="4" type="noConversion"/>
  </si>
  <si>
    <t>為收集計畫所需民族誌資料進行田野調查</t>
  </si>
  <si>
    <t>109/02/26-109/03/11</t>
  </si>
  <si>
    <t>關鍵轉折(1900-1910)：大花苗改宗運動與新教在中國西南的部落宣教_108-2410-H-001-087-MY2</t>
  </si>
  <si>
    <t>1. 為執行科技部計畫【關鍵轉折(1900-1910)：大花苗改宗運動與新教在中國西南的部落宣教_x0008_】，前往墨爾本神學院（Melbourne School of Theology）閱讀內地會（China Inland Mission）檔案。 2. 為執行民族所年度計畫【大花苗改宗運動與新教在中國西南的部落宣教_x0008_的關鍵轉折】，拜訪旅居墨爾本的苗族基督教歷史學家張坦老先生，進行口述歷史研究。</t>
  </si>
  <si>
    <t>109/01/17-109/02/09</t>
  </si>
  <si>
    <t>「文藝復興」的跨國史研究：以近代中國思想脈絡為中心之考察_108-2410-H-001-104-</t>
  </si>
  <si>
    <t>預計前往東京國會圖書館、東京大學圖書館和早稻田大學圖書館蒐集計畫研究之相關資料。</t>
  </si>
  <si>
    <t>109/02/03-109/02/14</t>
  </si>
  <si>
    <t>蔣介石與國際政治脈絡下的東北接收（1945-1947）_108-2410-H-001-066-MY2</t>
  </si>
  <si>
    <t>赴日本東京外交史料館、國會圖書館，蒐集關於二次大戰結束後，日、美等國對接收中國東北問題的相關資料</t>
  </si>
  <si>
    <t>109/01/20-109/02/03</t>
  </si>
  <si>
    <t>本科技部計畫原定第一年前往中國大陸上海、第二年前往日本東京蒐集研究資料，變更為第一年前往日本東京、第二年前往中國大陸上海蒐集研究資料，原核定金額不變</t>
    <phoneticPr fontId="4" type="noConversion"/>
  </si>
  <si>
    <t>人力資本及公共政策之因果分析_105-2410-H-001-004-MY3</t>
  </si>
  <si>
    <t>由神戶大學邀請赴該校訪問、演講與學術交流</t>
  </si>
  <si>
    <t>108/12/21-109/01/01</t>
  </si>
  <si>
    <t>神戶(Kobe)</t>
  </si>
  <si>
    <t>教育制度與比較利益對所得分配的動態分析_108-2410-H-001-107-</t>
  </si>
  <si>
    <t>至新加坡管理大學進行學術演講，並與該系師生共同討論研究，將利用得到的評論強化計畫論文的品質。</t>
  </si>
  <si>
    <t>不完全資訊下可理性化的執行_107-2410-H-001-113-MY2</t>
  </si>
  <si>
    <t>計畫名稱為「不完全資訊下可理性化的執行」，赴印度管理學院阿默達巴德分校進行研究訪問，另同時參加新德里參加第15屆經濟成長與發展年會會議並發表文章</t>
  </si>
  <si>
    <t>108/12/06-109/01/03</t>
  </si>
  <si>
    <t>新德里(New Delhi) 阿默達巴德</t>
  </si>
  <si>
    <t>政府支出對所得及消費不均之分析_108-2410-H-001-034-</t>
  </si>
  <si>
    <t>至美國華盛頓大學訪問Prof. Yu-Chin Chen，並討論共同研究計畫。</t>
  </si>
  <si>
    <t>109/01/21-109/02/07</t>
  </si>
  <si>
    <t>探索腸道菌叢調控心肌梗塞後修復之分子機制與其臨床應用(1/4)_MOST109-2327-B-001-001-</t>
  </si>
  <si>
    <t>中國域外管轄之擴張與歐美回應</t>
  </si>
  <si>
    <t>The project explores how existent key actors of international relations and predominant authors of international legal order, Europe and the US, respond to China’s ambition.</t>
  </si>
  <si>
    <t>108/09/06-109/05/04</t>
  </si>
  <si>
    <t>荷蘭(Netherlands) 德國(Germany)</t>
  </si>
  <si>
    <t>阿姆斯特丹(Amsterdam) 海德堡(Heidelberg)</t>
  </si>
  <si>
    <t>本計畫因疫情先提前回國，尚有4個月未執行完畢，計畫尚未結案，因此先繳交已完成部分報告</t>
    <phoneticPr fontId="4" type="noConversion"/>
  </si>
  <si>
    <t>歐中策略夥伴關係與全球治理_108-2410-H-001-060-</t>
  </si>
  <si>
    <t>2020年2月27日至2020年3月6日，將赴美國波士頓移地研究；2020年3月3日受哈佛大學費正清中國研究中心之邀，就美中貿易戰對台灣之影響發表專題演講；2020年3月6日至2020年3月7日於德國法蘭克福參加工作坊蒐集資料。</t>
  </si>
  <si>
    <t>109/02/27-109/03/07</t>
  </si>
  <si>
    <t>美國(U.S.A.) 德國(Germany)</t>
  </si>
  <si>
    <t>劍橋(Cambridge,Massachusetts) 波士頓(Boston,Massachuseetts) 法蘭克福(Frankfurt)</t>
  </si>
  <si>
    <r>
      <t>辦理結案中</t>
    </r>
    <r>
      <rPr>
        <sz val="10"/>
        <color indexed="8"/>
        <rFont val="標楷體"/>
        <family val="4"/>
        <charset val="136"/>
      </rPr>
      <t>，</t>
    </r>
    <r>
      <rPr>
        <sz val="10"/>
        <color indexed="8"/>
        <rFont val="新細明體"/>
        <family val="1"/>
        <charset val="136"/>
      </rPr>
      <t>併結案報告一併繳交</t>
    </r>
    <phoneticPr fontId="4" type="noConversion"/>
  </si>
  <si>
    <t>受邀赴泰國Chulalongkorn University生物化學系研究交流</t>
  </si>
  <si>
    <t>移地研究:Tokyo Institute of Technology 東京工業大學((地點:日本東京/日期:20200124);受邀演講;經費來源為:科技部攻頂計畫</t>
  </si>
  <si>
    <t>科技部補助科學與技術人員國外短期研究108-2918-I-001-004</t>
  </si>
  <si>
    <t>赴美國University of Southern California進修研究,因參加於美國舊金山與西雅圖之國際學術會議，提前於6/18出發赴美。且於11月返台參加本所研究人員review會議。</t>
  </si>
  <si>
    <t>108/07/08-109/01/07</t>
  </si>
  <si>
    <t>洛杉磯(Los Angeles,California)</t>
  </si>
  <si>
    <t>氣候變遷下的生物脆弱度研究：季節生態區位改變與地區適應_108-2314-B-001-009-MY3</t>
  </si>
  <si>
    <t>日本鹿兒島縣本島及奄美大島和德之島等進行尼泊爾埋葬蟲野外族群之分布調查</t>
  </si>
  <si>
    <t>109/01/13-109/01/21</t>
  </si>
  <si>
    <t>鹿兒島本島、奄美大島、德之島</t>
  </si>
  <si>
    <t>日本沖繩縣國頭村進行野外埋葬蟲採樣調查研究</t>
  </si>
  <si>
    <t>109/01/14-109/01/20</t>
  </si>
  <si>
    <t>沖繩縣國頭村</t>
  </si>
  <si>
    <t>日本鹿兒島縣本島及奄美大島和德之島等進行尼泊爾埋葬蟲野外族群之分布調查。</t>
  </si>
  <si>
    <t>鹿兒島縣本島、奄美大島、德之島</t>
  </si>
  <si>
    <t>造礁珊瑚的族群統計學在不同型態珊瑚與不同環境中的差異_108-2611-M-001-002-</t>
  </si>
  <si>
    <t>望加錫珊瑚田野調查 行程簡述:前往望加錫採樣珊瑚，蒐集資料</t>
  </si>
  <si>
    <t>109/03/08-109/03/16</t>
  </si>
  <si>
    <t>印尼(Indonesia)</t>
  </si>
  <si>
    <t>望加錫</t>
  </si>
  <si>
    <t>明治、大正時期的詩經學研究_107-2410-H-001-086-MY3</t>
  </si>
  <si>
    <t>赴日本福岡、東京蒐集資料。</t>
  </si>
  <si>
    <t>109/01/16-109/01/25</t>
  </si>
  <si>
    <t>福岡(Fukuoka) 東京(Tokyo)</t>
  </si>
  <si>
    <t>108-2918-I-001-001</t>
  </si>
  <si>
    <t>獲科技部核定為108年度（第57屆）補助科學與技術人員赴國外短期研究人員，帶職帶薪赴比利時魯汶大學「南懷仁研究中心」研究。</t>
  </si>
  <si>
    <t>108/12/09-109/11/02</t>
  </si>
  <si>
    <t>魯汶</t>
  </si>
  <si>
    <t>國際合作時代的黑洞天文物理研究(3/5)_108-2923-M-001-002-</t>
  </si>
  <si>
    <t>赴美國劍橋史密松天文台(SAO)進行計畫相關學術交流，以利發展在臺研究計畫發展進度。</t>
  </si>
  <si>
    <t>109/03/08-109/05/11</t>
  </si>
  <si>
    <t>鄰近主序後星普查計畫 (NESS)_107-2119-M-001-031-MY3</t>
  </si>
  <si>
    <t>赴德國加興(Garching)歐洲南方天文台(ESO)及荷蘭烏特勒支(Utrecht)SRON Netherlands Institute for Space Research機構進行計畫相關學術研究。</t>
  </si>
  <si>
    <t>108/11/16-109/02/04</t>
  </si>
  <si>
    <t>加興(Garching) 烏特勒支(Utrecht)</t>
  </si>
  <si>
    <t>星系團中的暗物質與重子的形狀與對齊排列_106-2628-M-001-003-MY3</t>
  </si>
  <si>
    <t>赴西班牙格拉那達安達盧西亞天體物理研究所(Instituto de Astrofísica de Andalucía-CSIC)進行天文計畫相關學術研究。</t>
  </si>
  <si>
    <t>108/12/19-109/02/11</t>
  </si>
  <si>
    <t>格拉納達(Granada)</t>
  </si>
  <si>
    <t>藉由ALMA拓展星系中恆星形成與星系核活動的新視野: 3.5_108-2112-M-001-015-</t>
  </si>
  <si>
    <t>赴日本鹿兒島大學進行計畫相關學術研究。</t>
  </si>
  <si>
    <t>109/01/13-109/01/17</t>
  </si>
  <si>
    <t>鹿兒島(Kagoshima)</t>
  </si>
  <si>
    <t>赴日本東京大學協同天文研究學者進行計畫相關學術研究，以利發展在臺研究計畫進度。</t>
  </si>
  <si>
    <t>天文及宇宙學紅外線太空望遠鏡計畫之初期研究-天文及宇宙學紅外線太空望遠鏡計畫之初期研究_108-2112-M-001-013-</t>
  </si>
  <si>
    <t>赴美國洛杉磯DRS Technologies Inc.公司進行計畫相關技術研討。</t>
  </si>
  <si>
    <t>109/02/11-109/02/14</t>
  </si>
  <si>
    <t>赴美國夏威夷希羅島(Hilo)進行格陵蘭望遠鏡計畫(GLT)接收機整合及測試模擬事宜。</t>
  </si>
  <si>
    <t>109/02/09-109/02/20</t>
  </si>
  <si>
    <t>赴美國劍橋哈佛-史密松天體物理中心(Harvard-Smithsonian Center for Astrophysics,CfA)進行計畫相關學術交流。</t>
  </si>
  <si>
    <t>109/02/12-109/03/01</t>
  </si>
  <si>
    <t>赴格陵蘭圖勒空軍基地(Thule Air Base)進行天文計畫相關觀測事宜。</t>
  </si>
  <si>
    <t>109/01/14-109/02/11</t>
  </si>
  <si>
    <t>格陵蘭(Greenland)</t>
  </si>
  <si>
    <t>赴荷蘭萊頓大學天文台(Leiden Observatory)進行計畫相關學術研討。</t>
  </si>
  <si>
    <t>109/02/22-109/03/01</t>
  </si>
  <si>
    <t>荷蘭(Netherlands)</t>
  </si>
  <si>
    <t>萊頓(Leiden)</t>
  </si>
  <si>
    <t>赴日本東京大學進行計畫相關學術研討。</t>
  </si>
  <si>
    <t>109/03/12-109/03/16</t>
  </si>
  <si>
    <t>以多波段觀測研究恆星與行星形成(VI)_106-2119-M-001-026-MY3</t>
  </si>
  <si>
    <t>赴日本東京大學本鄉校區參與學術研討會，進行計畫相關學術研討。</t>
  </si>
  <si>
    <t>109/03/06-109/03/12</t>
  </si>
  <si>
    <t>探測低質量恒星形成的最早期階段（四）_108-2112-M-001-017-</t>
  </si>
  <si>
    <t>赴日本東京國立天文台參與研討會議，協同天文研究學者進行計畫相關學術研討。</t>
  </si>
  <si>
    <t>109/03/04-109/03/08</t>
  </si>
  <si>
    <t>109/01/13-109/02/09</t>
  </si>
  <si>
    <t>結合MaNGA和ALMA對星系的恆星形成與抑制做綜合研究_108-2628-M-001-001-MY3</t>
  </si>
  <si>
    <t>受邀赴荷蘭萊頓Lorentz Center出席研討會議，進行計畫相關學術研討。</t>
  </si>
  <si>
    <t>109/03/29-109/04/05</t>
  </si>
  <si>
    <t>赴格陵蘭圖勒空軍基地(Thule Air Base)執行格陵蘭望遠鏡相關運轉測試及觀測支援事宜。</t>
  </si>
  <si>
    <t>109/03/03-109/03/23</t>
  </si>
  <si>
    <t>赴智利聖地牙哥ALMA天文台進行ALMA Band 1計畫相關技術研討，後赴阿塔卡瑪(Atacama)執行ALMA接收機匣安裝與測試事宜。</t>
  </si>
  <si>
    <t>109/02/25-109/03/07</t>
  </si>
  <si>
    <t>智利(Chile)</t>
  </si>
  <si>
    <t>聖地牙哥(Santiago) 阿塔卡瑪(Atacama)</t>
  </si>
  <si>
    <t>用阿塔卡瑪干涉陣列與JCMT天文台來研究絲狀結構到分子雲到原恆星系統內的磁場_107-2119-M-001-023-</t>
  </si>
  <si>
    <t>赴美國夏威夷毛納基山進行次毫米波望遠鏡陣列(SMA)觀測研究。</t>
  </si>
  <si>
    <t>109/03/03-109/03/12</t>
  </si>
  <si>
    <t>赴英國卡迪夫大學(Cardiff University)進行計畫相關學術研究。</t>
  </si>
  <si>
    <t>109/03/07-109/03/13</t>
  </si>
  <si>
    <t>卡迪夫(Cardiff)</t>
  </si>
  <si>
    <t>阿塔卡瑪(Atacama) 聖地牙哥(Santiago)</t>
  </si>
  <si>
    <t>109/02/19-109/03/12</t>
  </si>
  <si>
    <t>赴美國華盛頓特區美國國家科學基金會進行計畫相關學術研討，並報告本所在臺研究計畫近況，後赴格陵蘭圖勒空軍基地執行格陵蘭望遠鏡儀器升級安裝及測試事宜。</t>
  </si>
  <si>
    <t>109/02/11-109/03/23</t>
  </si>
  <si>
    <t>美國(U.S.A.) 格陵蘭(Greenland)</t>
  </si>
  <si>
    <t>華盛頓特區(Washington) 格陵蘭(Greenland)</t>
  </si>
  <si>
    <t>原行星盤與系外行星系統形成之數值模擬（兩岸合作研究：太陽系天體與系外行星系統 — 系外行星、行星形_105-2119-M-001-044-MY3</t>
  </si>
  <si>
    <t>赴美國加州大學柏克萊分校協同天文研究學者進行高等理論天文物理計畫相關學術研究。</t>
  </si>
  <si>
    <t>109/01/14-109/06/04</t>
  </si>
  <si>
    <t>赴格陵蘭圖勒空軍基地(Thule Air Base)執行GLT本體結構校準，並進行天文計畫相關觀測研究事宜。</t>
  </si>
  <si>
    <t>109/03/12-109/03/19</t>
  </si>
  <si>
    <t>從塵埃與氣體到行星形成與演化_107-2112-M-001-043-MY3</t>
  </si>
  <si>
    <t>赴英國科芬特里(Coventry)華威大學(University of Warwick)、倫敦瑪麗王后大學、劍橋大學及丹麥哥本哈根大學Niels Bohr研究所(Niels Bohr Institute)進行計畫相關學術研討。</t>
  </si>
  <si>
    <t>109/04/19-109/05/09</t>
  </si>
  <si>
    <t>英國(United Kingdom) 丹麥(Denmark)</t>
  </si>
  <si>
    <t>科芬特里(Coventry) 倫敦(London) 劍橋(Cambridge) 哥本哈根(Copenhagen)</t>
  </si>
  <si>
    <t>赴美國夏威夷希羅島(Hilo)進行計畫相關學術研討，以利發展在臺研究計畫進度。</t>
  </si>
  <si>
    <t>109/03/08-109/04/11</t>
  </si>
  <si>
    <t>有機奈米精準醫學平台:快速分離循環腫瘤細胞與個人化藥物篩選(3/3)_108-2119-M-001-003-</t>
  </si>
  <si>
    <t>至新加坡大學學術交流</t>
  </si>
  <si>
    <t>電控電漿子陶瓷材料奈米系統之開發與其超快載子動力學研究_106-2112-M-001-036-MY3</t>
  </si>
  <si>
    <t>至美國帕沙迪納參加 “A symposium on the occasion of Professor Harry Atwater's 60th Birthday“特殊研討會並做國際學術研究與交流。</t>
  </si>
  <si>
    <t>109/01/17-109/01/21</t>
  </si>
  <si>
    <t>帕莎蒂娜(Pasadena, California)</t>
  </si>
  <si>
    <t>政治學計量方法研習營 2018-2020_107-2420-H-001-006-MY3</t>
  </si>
  <si>
    <t>前往ICPSR進修統計</t>
  </si>
  <si>
    <t>109/06/22-109/08/14</t>
  </si>
  <si>
    <t>密西根安娜堡</t>
  </si>
  <si>
    <t>高階研究人才赴史丹佛大學蹲點先導計畫_108303</t>
  </si>
  <si>
    <t>計畫主持人至史丹佛大學洽談並協調蹲點事宜；經費由教育部計畫支應。</t>
  </si>
  <si>
    <t>109/01/18-109/06/11</t>
  </si>
  <si>
    <t>Stanford</t>
  </si>
  <si>
    <t>發展摺紙式的類器官培養模組以應用於組織再生及疾病控制研究(2/3)_108-2119-M-001-018-</t>
  </si>
  <si>
    <t>計畫主持人至史丹福大學進行移地研究；經費由科技部計畫支應。</t>
  </si>
  <si>
    <t>108/09/05-109/01/03</t>
  </si>
  <si>
    <t>泰國南部泰華社群的穆斯林聖像To信仰與實踐_108-2410-H-001-103-MY2</t>
  </si>
  <si>
    <t>執行「泰國南部泰華社群的穆斯林聖像To信仰與實踐」研究計畫田野調查，收集儀式資料。</t>
  </si>
  <si>
    <t>109/02/25-109/03/05</t>
  </si>
  <si>
    <t>曼谷(Bangkok) 普吉(Phuket)</t>
  </si>
  <si>
    <t>研究，邀請單位：KAIST</t>
  </si>
  <si>
    <t>109/02/19-109/02/21</t>
  </si>
  <si>
    <t>大田(Daejon)</t>
  </si>
  <si>
    <t>資安特色中心暨聯盟-資安特色中心暨聯盟(3/3)_108-2218-E-001-001</t>
  </si>
  <si>
    <t>研究，2/24-2/28擔任AIT RSA 2020台灣代表團成員；3/2至Center for Long-Term Cybersecurity, UC-Berkeley.及Kaggle (part of Google) office進行交流討論。</t>
  </si>
  <si>
    <t>109/02/23-109/03/04</t>
  </si>
  <si>
    <t>原訂至以色列本古里安大學參加資安暑期班，進行國際資安技術研習交流。因新冠肺炎疫情，學校公告取消暑期班且不退費，故申請核銷報名費。</t>
  </si>
  <si>
    <t>109/07/12-109/08/05</t>
  </si>
  <si>
    <t>以色列(Israel)</t>
  </si>
  <si>
    <t>貝爾謝巴</t>
  </si>
  <si>
    <r>
      <t>因COVID-19疫情影響，研習取消</t>
    </r>
    <r>
      <rPr>
        <sz val="10"/>
        <color indexed="8"/>
        <rFont val="標楷體"/>
        <family val="4"/>
        <charset val="136"/>
      </rPr>
      <t>，</t>
    </r>
    <r>
      <rPr>
        <sz val="10"/>
        <color indexed="8"/>
        <rFont val="新細明體"/>
        <family val="1"/>
        <charset val="136"/>
      </rPr>
      <t>此為相關手續費</t>
    </r>
    <phoneticPr fontId="4" type="noConversion"/>
  </si>
  <si>
    <t>醣胜肽抗生素安巴素生物合成探討暨新抗生素開發_108-2113-M-001-021-MY3</t>
    <phoneticPr fontId="4" type="noConversion"/>
  </si>
  <si>
    <t>國內旅費</t>
    <phoneticPr fontId="4" type="noConversion"/>
  </si>
  <si>
    <t>新竹同步輻射中心收集實驗數據</t>
    <phoneticPr fontId="4" type="noConversion"/>
  </si>
  <si>
    <t>108/11/21</t>
    <phoneticPr fontId="4" type="noConversion"/>
  </si>
  <si>
    <t>中華民國</t>
    <phoneticPr fontId="4" type="noConversion"/>
  </si>
  <si>
    <t>新竹</t>
    <phoneticPr fontId="4" type="noConversion"/>
  </si>
  <si>
    <t>屬國內旅費，誤歸為國外旅費</t>
  </si>
  <si>
    <t>計畫結餘款再運用-胡宇光</t>
  </si>
  <si>
    <t>赴日本、澳大利亞及美國進行X光等相關研究及學術交流</t>
    <phoneticPr fontId="4" type="noConversion"/>
  </si>
  <si>
    <t>108/11/30-108/12/14</t>
    <phoneticPr fontId="4" type="noConversion"/>
  </si>
  <si>
    <t>日本(Japan)澳大利亞(Australia)美國(U.S.A.)</t>
    <phoneticPr fontId="4" type="noConversion"/>
  </si>
  <si>
    <t>兵庫雪梨(Sudeny)夏威夷州(State of Hawaii)</t>
    <phoneticPr fontId="4" type="noConversion"/>
  </si>
  <si>
    <t>00047987</t>
    <phoneticPr fontId="4" type="noConversion"/>
  </si>
  <si>
    <t>108年度應付帳款多預估100元</t>
    <phoneticPr fontId="4" type="noConversion"/>
  </si>
  <si>
    <t>以阿爾法磁譜儀和大規模低溫重力波望遠鏡挑戰基本物理與宇宙論-2_107-2119-M-001-036-</t>
  </si>
  <si>
    <t>本所研究員灰野禎一博士灰野禎一博士擬於2019年11月25日至12月06日前往日本富山與東京大學進行KAGRA天文台系統特性化實驗並進行工作會議。</t>
  </si>
  <si>
    <t>108/11/25-108/12/06</t>
  </si>
  <si>
    <t>富山 東京(Tokyo)</t>
  </si>
  <si>
    <t>108年度應付帳款多預估4,437元</t>
    <phoneticPr fontId="4" type="noConversion"/>
  </si>
  <si>
    <t>資安特色中心暨聯盟-資安特色中心暨聯盟(2/3)_107-2218-E-001-005</t>
    <phoneticPr fontId="4" type="noConversion"/>
  </si>
  <si>
    <t>至日本東京首都大學（TMU）進行研究，實作Human-Powered Opportunistic Networks演算法與系統建置，並學習相關分析方法與網路安全技術。</t>
    <phoneticPr fontId="4" type="noConversion"/>
  </si>
  <si>
    <t>108/08/27-108/09/30</t>
  </si>
  <si>
    <t>109年收回108年溢領差旅費3,104元</t>
    <phoneticPr fontId="4" type="noConversion"/>
  </si>
  <si>
    <t>研發能量提升計畫-物理研究所(Phys)</t>
  </si>
  <si>
    <t>前往法國巴黎-薩克雷大學（Universite Paris-Saclay）進行研究並與當地學者進行學術討論</t>
  </si>
  <si>
    <t>109/01/18-109/02/02</t>
  </si>
  <si>
    <t>SP8 SACLA experiment</t>
  </si>
  <si>
    <t>109/02/19-109/02/24</t>
  </si>
  <si>
    <t>兵庫縣</t>
  </si>
  <si>
    <t>到日本spring-8做蛋白質實驗</t>
  </si>
  <si>
    <t>赴日本兵庫縣Spring 8進行蛋白質研究</t>
  </si>
  <si>
    <t>到日本Spring-8做蛋白質實驗</t>
  </si>
  <si>
    <t>赴日本兵庫縣SPring-8做實驗</t>
  </si>
  <si>
    <t>Doing experiments at SACLA, SPring8, Japan</t>
  </si>
  <si>
    <t>hyogo</t>
  </si>
  <si>
    <t>支援「開創蛋白質醫學及生技產業計畫」擬赴瑞士進行實驗</t>
  </si>
  <si>
    <t>109/03/22-109/04/01</t>
  </si>
  <si>
    <t>菲力根(Villigen)</t>
  </si>
  <si>
    <r>
      <t>因COVID-19疫情影響，實驗取消</t>
    </r>
    <r>
      <rPr>
        <sz val="10"/>
        <color indexed="8"/>
        <rFont val="標楷體"/>
        <family val="4"/>
        <charset val="136"/>
      </rPr>
      <t>，</t>
    </r>
    <r>
      <rPr>
        <sz val="10"/>
        <color indexed="8"/>
        <rFont val="新細明體"/>
        <family val="1"/>
        <charset val="136"/>
      </rPr>
      <t>此為相關手續費</t>
    </r>
    <phoneticPr fontId="4" type="noConversion"/>
  </si>
  <si>
    <t>To collect protein crystals diffraction data using Spring 8 beamline in Japan</t>
  </si>
  <si>
    <t>SwissFEL進行光束線實驗</t>
  </si>
  <si>
    <t>109/03/24-109/04/01</t>
  </si>
  <si>
    <t>菲利根(Villigen)</t>
  </si>
  <si>
    <t>109/03/23-109/03/30</t>
  </si>
  <si>
    <t>赴日本兵庫縣光都Spring-8執行蛋白質結構相關實驗</t>
  </si>
  <si>
    <t>兵庫縣光都</t>
  </si>
  <si>
    <t>2/18 Kyowa-Kako Co.合作單位進行進度報告+2/19-23 SP8做實驗+2/24 Hiroshima University合作單位進行進度報告+2/24-25 Osaka University合作單位進行進度報告+2/26-2/28 Ochanomizu University合作單位進行進度報告</t>
  </si>
  <si>
    <t>109/02/18-109/02/29</t>
  </si>
  <si>
    <t>東京(Tokyo) 兵庫縣 廣島(Hiroshima) 大阪(Osaka)</t>
  </si>
  <si>
    <t>赴日本兵庫縣Spring-8做實驗</t>
  </si>
  <si>
    <t>Hyogo</t>
  </si>
  <si>
    <t>實習</t>
  </si>
  <si>
    <t>420012　林淑端老師-J7計畫結餘款再運用</t>
  </si>
  <si>
    <t>應邀前往印度海德拉巴大學給予演講，參訪並進行學術交流。</t>
  </si>
  <si>
    <t>109/01/24-109/01/30</t>
  </si>
  <si>
    <t>海得拉巴(Hyderabad)</t>
  </si>
  <si>
    <t>於109年5月17日至5月20日，出席瑞士舉行的【奈米臨床藥物在歐洲體系的應用2020】</t>
  </si>
  <si>
    <t>109/05/16-109/05/30</t>
  </si>
  <si>
    <t>巴塞爾(Basel)</t>
  </si>
  <si>
    <t>赴印度IIT-DELHI研究交流</t>
  </si>
  <si>
    <t>本案另增列此經費來源，此次提前回國機票費由吳建輝計畫結餘款經費支應</t>
  </si>
  <si>
    <t>謝清河博士赴美國威斯康辛大學麥迪遜校區進行國際合作研究</t>
  </si>
  <si>
    <t>109/10/02-109/12/20</t>
  </si>
  <si>
    <t>109年度應付帳款多預估8,271元</t>
    <phoneticPr fontId="4" type="noConversion"/>
  </si>
  <si>
    <t>前往美國加州大學戴維斯分校參訪研究</t>
  </si>
  <si>
    <t>108/12/19-109/01/07</t>
  </si>
  <si>
    <t>沙加緬度</t>
  </si>
  <si>
    <t>108年度應付帳款多預估15,129元</t>
    <phoneticPr fontId="4" type="noConversion"/>
  </si>
  <si>
    <t>計畫結餘款再運用-吳茂昆</t>
  </si>
  <si>
    <t>研究副技師嚴漢偉先生擬於109年1月16日赴新加坡參與SYNAPSE會議進行學術及技術交流，當天返回馬來西亞繼續會議</t>
  </si>
  <si>
    <t>109/01/14-109/01/18</t>
  </si>
  <si>
    <t>馬來西亞(Malaysia) 新加坡(Singapore)</t>
  </si>
  <si>
    <t>加影(Kajang) 新加坡(Singapore)</t>
  </si>
  <si>
    <t>109年5月17日至5月20日，出席瑞士舉行的【奈米臨床藥物在歐洲體系的應用2020】</t>
  </si>
  <si>
    <t>科技部計畫「獨立財產與資產分割：理論基礎與應用」(MOST 104-2628-H-001-001-MY3)計畫結餘款</t>
  </si>
  <si>
    <t>約聘助理李馥芳小姐擬於109年1月14日起至109年1月17日止受派赴新加坡協助胡宇光特聘研究員辦理會議</t>
  </si>
  <si>
    <t>陽明大學神經科學研究所陳俊仲博士擬於109年01月14日起至109年01月17日止赴新加坡參與SYNAPSE(Synchrotron for Neuroscience – an Asia Pacific Strategic Enterprise)會議進行學術及技術交流</t>
  </si>
  <si>
    <t>9999計畫結餘款再運用-楊得年</t>
  </si>
  <si>
    <t>9999計畫結餘款再運用_楊得年_研發替代役博士後研究員王志以「ONLINE」方式參與2020年6月7日至6月11日召開IEEE ICC 2020並發表論文。</t>
  </si>
  <si>
    <t>參加第三屆科技整合研究國際會議</t>
  </si>
  <si>
    <t>109/03/13-109/07/04</t>
  </si>
  <si>
    <t>埃及(Egypt)</t>
  </si>
  <si>
    <t>艾斯尤特</t>
  </si>
  <si>
    <t>Workshop on Emerging economies in a changing global division of labour</t>
  </si>
  <si>
    <t>擬於109年2月3日至7日赴泰國曼谷參加「Emerging economies in a changing global division of labour工作坊」。預計2月7日返國。所需經費共計6,202元，出差期間敬請准予公假，陳 請核示。</t>
  </si>
  <si>
    <t>109/02/03-109/02/07</t>
  </si>
  <si>
    <t>姚秉瑜出席日本東京【nano tech 2020】研討會</t>
  </si>
  <si>
    <t>出席日本東京【nano tech 2020】研討會，並於台灣館展示研究成果</t>
  </si>
  <si>
    <t>109/01/27-109/02/01</t>
  </si>
  <si>
    <t>參加2020聯合統計年會視訊會議</t>
  </si>
  <si>
    <t>109/08/02-109/08/06</t>
  </si>
  <si>
    <t>冰島雷克雅未克舉辦的世界地熱大會(The World Geothermal Congress 2020 in Reykjavik, Iceland)</t>
  </si>
  <si>
    <t>109/04/27-109/05/01</t>
  </si>
  <si>
    <t>參加2019 Fall AGU Meeting</t>
  </si>
  <si>
    <t>108/12/07-108/12/17</t>
  </si>
  <si>
    <t>台灣及鄰近地區地體動力學研究III (GOTTA III)-建構南海地震網與推動周邊地體構造與地震防災研究</t>
  </si>
  <si>
    <t>367032科技部_台灣速度模型：建立、驗證、查詢與應用-台灣速度模型之驗證_107-2116-M-001-025-MY3</t>
  </si>
  <si>
    <t>000015林正洪計畫結餘款</t>
  </si>
  <si>
    <t>受邀出席國際會議：Research on algebraic combinatorics, related groups and algebras</t>
  </si>
  <si>
    <t>108/12/15-109/01/05</t>
  </si>
  <si>
    <t>台灣地震科學資料中心</t>
  </si>
  <si>
    <t>420010　簡正鼎老師-J7計畫結餘款再運用</t>
  </si>
  <si>
    <t>9999_計畫結餘款再運用-廖純中_ICNSE2020_BMSS 2020_ICCMB 2020_ETLTC 2020</t>
  </si>
  <si>
    <t>9999_計畫結餘款再運用-廖純中_ICNSE2020_BMSS 2020_ICCMB 2020</t>
  </si>
  <si>
    <t>109/01/19-109/02/03</t>
  </si>
  <si>
    <t>會津若松 名古屋(Nagoya) 東京(Tokyo)</t>
  </si>
  <si>
    <t>參與2020年於美國奧蘭多所舉辦之第16屆WORLD symposium，並張貼論文壁報</t>
  </si>
  <si>
    <t>109/02/05-109/02/16</t>
  </si>
  <si>
    <t>奧蘭多(Orlando,Florida)</t>
  </si>
  <si>
    <t>參加PAG研討會</t>
  </si>
  <si>
    <t>計畫結餘款再運用-陳宏文</t>
  </si>
  <si>
    <t>(1) Noncoding RNAs: Mechanism, Function and Therapies (1/12/2020-1/16/2020)。 (2) Tissue Organoids as Models of Host Physiology and Pathophysiology of Disease (1/19/2020-1/23/2020)。</t>
  </si>
  <si>
    <t>109/01/12-109/01/25</t>
  </si>
  <si>
    <t>威士拿 (Whistler) 溫哥華(Vancouver)(10/16-04/30)</t>
  </si>
  <si>
    <t>(9999)計畫結餘款再運用_劉庭祿</t>
  </si>
  <si>
    <t>(9999)計畫結餘款再運用_劉庭祿_AAAI2020</t>
  </si>
  <si>
    <t>全球青年科學家峰會</t>
  </si>
  <si>
    <t>前往新加坡參加全球青年科學家峰會</t>
  </si>
  <si>
    <t>109/01/13-109/01/19</t>
  </si>
  <si>
    <t>(9999)計畫結餘款再運用_劉庭祿_AAAI20</t>
  </si>
  <si>
    <t>9999_計畫結餘款再運用-王柏堯_HACS 2020</t>
  </si>
  <si>
    <t>9999) 計畫結餘款再運用-王柏堯_HACS 2020</t>
  </si>
  <si>
    <t>9999_計畫結餘款再運用-馬偉雲_AAAI 2020</t>
  </si>
  <si>
    <t>109/02/08-109/02/13</t>
  </si>
  <si>
    <t>參加加拿大溫哥華舉行之｢2020 Keystone Symposia Conference: Intra- and Intercellular Mechanisms of Aging｣。</t>
  </si>
  <si>
    <t>109/02/08-109/02/16</t>
  </si>
  <si>
    <t>博士後研究陳翔欣小姐擬於109年01月13日起至109年01月17日止受邀前往新加坡大學參與SYNAPSE會議進行學術與技術交流</t>
  </si>
  <si>
    <t>約聘助理邱繡瑾小姐擬於109年01月13日起至109年01月17日止受邀前往新加坡大學參與SYNAPSE會議進行學術與技術交流，並受邀擔任會議工作人員</t>
  </si>
  <si>
    <t>約聘助理陳怡云小姐擬於109年01月13日起至109年01月17日止受邀前往新加坡大學參與SYNAPSE會議進行學術與技術交流，並受邀擔任會議工作人員</t>
  </si>
  <si>
    <t>國立東華大學物理學系鄭嘉良教授擬於109年01月14日起至109年01月17日止參與SYNAPSE會議進行學術及技術交流</t>
  </si>
  <si>
    <t>國立交通大學資訊工程學系荊宇泰教授擬於109年01月14日起至109年01月17日止赴新加坡參與SYNAPSE會議進行學術及技術交流</t>
  </si>
  <si>
    <t>109年度帳務有誤，多支出10,625元</t>
    <phoneticPr fontId="4" type="noConversion"/>
  </si>
  <si>
    <t>國家高速網路與計算中心陳南佑研究員擬於109年01月14日起至109年01月17日止赴新加坡參與SYNAPSE會議進行學術及技術交流</t>
  </si>
  <si>
    <t>東海大學應用物理學系施奇廷教授擬於109年01月14日起至109年01月17日止赴新加坡參與SYNAPSE會議進行學術及技術交流</t>
  </si>
  <si>
    <t>109年度帳務有誤，多支出11,825元</t>
    <phoneticPr fontId="4" type="noConversion"/>
  </si>
  <si>
    <t>科學人雜誌編輯陳其暐先生於109年01月14日起至109年01月17日止受邀赴新加坡參與SYNAPSE會議</t>
  </si>
  <si>
    <t>因受新型冠狀病毒疫情影響取消行程擬申請註冊費計380歐元</t>
  </si>
  <si>
    <t>參加在義大利羅馬市舉行之「第15屆歐州真菌遺傳會議(ECFG15)」</t>
  </si>
  <si>
    <t>109/02/17-109/02/20</t>
  </si>
  <si>
    <t>羅馬(Rome)</t>
  </si>
  <si>
    <t>9999_計畫結餘款再運用-陳祝嵩</t>
  </si>
  <si>
    <t>9999_計畫結餘款再運用-陳祝嵩_研究助理屠政皓以視訊方式參加IEEE WCCI 2020並發表論文。</t>
  </si>
  <si>
    <t>109/07/19-109/07/24</t>
  </si>
  <si>
    <t>格洛哥(Glasgow)</t>
  </si>
  <si>
    <t>十字花科研究</t>
  </si>
  <si>
    <t>參與十字花科以及作物基因體相關研討會。與學界和業界交流。</t>
  </si>
  <si>
    <t>因受新型冠狀病毒疫情影響取消赴美行程，擬申請機票款83.4美元及退票手續費新台幣6000元</t>
  </si>
  <si>
    <t>參加美國能源部聯合基因體學研究所在奧克蘭市舉辦之「能源與環境基因體學研討會」</t>
  </si>
  <si>
    <t>109/03/19-109/03/28</t>
  </si>
  <si>
    <t>Oakland 西雅圖(Seattle,Washington)</t>
  </si>
  <si>
    <t>「2020歐洲分子生物學會微管研究」網路視訊會議</t>
  </si>
  <si>
    <t>約聘助理陳雯琪擬於109年1月14日起至109年1月17日止受派赴新加坡協助胡宇光特聘研究員辦理會議</t>
  </si>
  <si>
    <t>參加由keystone symposia舉辦「e-Symposia virtual meeting: Vaccinology in the Age of Pandemics: Strategies Against COVID-19 &amp; Other Global Threats」網路視訊會議</t>
  </si>
  <si>
    <t>109/06/15-109/06/16</t>
  </si>
  <si>
    <t>E Conference through online internet</t>
  </si>
  <si>
    <t>訪問學者裴熙理博士擬於109年01月14日起至109年01月17日止赴新加坡參與SYNAPSE會議進行學術及技術交流</t>
  </si>
  <si>
    <t>109/01/02-109/03/13</t>
  </si>
  <si>
    <t>法國(France) 新加坡(Singapore) 日本(Japan)</t>
  </si>
  <si>
    <t>波爾多 新加坡(Singapore) 兵庫</t>
  </si>
  <si>
    <t>109年度帳務有誤，多支出9,990元</t>
    <phoneticPr fontId="4" type="noConversion"/>
  </si>
  <si>
    <t>109/1/18-109/3/13由法方支應，無需繳交報告</t>
  </si>
  <si>
    <t>E conference through online internet</t>
  </si>
  <si>
    <t>原訂於109年5月26日至31日，參加在加拿大溫哥華市舉行之【2020第25屆核醣核酸會議(RNA 2020)】，因受新型冠狀病毒疫情影響取消行程, 擬申請退票手續費計新台幣2800元</t>
  </si>
  <si>
    <t>109/05/26-109/05/31</t>
  </si>
  <si>
    <t>溫哥華(Vancouver)(05/01-10/15)</t>
  </si>
  <si>
    <t>謝銘倫計劃結餘款</t>
  </si>
  <si>
    <t>受邀出國移地研究： Arizona Winter School 2020: Nonabelian Chabauty</t>
  </si>
  <si>
    <t>109/03/06-109/03/13</t>
  </si>
  <si>
    <t>Tucson, AZ</t>
  </si>
  <si>
    <t>職傅洛夫副研究員擬於108年12月16日至109年1月29日申請至俄羅斯及以色列進行研究</t>
  </si>
  <si>
    <t>赴俄羅斯討論台俄合作計畫“Theoretical and experimental study if nanostructures based on GaSb-Si for thermoelectric conversion”及赴以色列拉馬干討論合作計畫 ‘Collective excitations in 2D materials”。</t>
  </si>
  <si>
    <t>108/12/16-109/01/29</t>
  </si>
  <si>
    <t>俄羅斯(Russia) 以色列(Israel)</t>
  </si>
  <si>
    <t>海參崴(Vladivostok) 拉馬干</t>
  </si>
  <si>
    <t>受邀至德國Max Planck Institute for Plant Breeding Research發表演講並會見該機構學者</t>
  </si>
  <si>
    <t>109/02/24-109/02/29</t>
  </si>
  <si>
    <t>科隆(Cologne)</t>
  </si>
  <si>
    <t>700005蔡明璋計畫結餘款再運用</t>
  </si>
  <si>
    <t>參加「Joint Research Meeting」會議，進行學術交流及發表研究內容。並討論與日本專修大學合作進行亞洲跨國社會福祉調查的研究計畫。</t>
  </si>
  <si>
    <t>謝清河博士至美國威斯康辛大學麥迪遜校區進行國際合作研究</t>
  </si>
  <si>
    <t>謝清河博士至美國威斯康辛大學麥迪遜校區進行國際合作研究與執行科技部再生醫學科技發展計畫(109-2321-B-001-012)</t>
  </si>
  <si>
    <t>109/06/26-109/09/04</t>
  </si>
  <si>
    <t>109/01/15-109/03/13</t>
  </si>
  <si>
    <t>合計</t>
  </si>
  <si>
    <t>單位:新臺幣元</t>
    <phoneticPr fontId="3" type="noConversion"/>
  </si>
  <si>
    <t xml:space="preserve"> 中華民國 109 年度</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</si>
</sst>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2"/>
      <color theme="1"/>
      <name val="新細明體"/>
      <family val="1"/>
      <charset val="136"/>
      <scheme val="minor"/>
    </font>
    <font>
      <sz val="12"/>
      <color theme="1"/>
      <name val="新細明體"/>
      <family val="1"/>
      <charset val="136"/>
      <scheme val="minor"/>
    </font>
    <font>
      <b/>
      <sz val="12"/>
      <color theme="1"/>
      <name val="新細明體"/>
      <family val="1"/>
      <charset val="136"/>
    </font>
    <font>
      <sz val="9"/>
      <name val="新細明體"/>
      <family val="1"/>
      <charset val="136"/>
      <scheme val="minor"/>
    </font>
    <font>
      <sz val="9"/>
      <name val="新細明體"/>
      <family val="1"/>
      <charset val="136"/>
    </font>
    <font>
      <sz val="10"/>
      <color theme="1"/>
      <name val="Calibri"/>
      <family val="2"/>
    </font>
    <font>
      <sz val="10"/>
      <color indexed="8"/>
      <name val="新細明體"/>
      <family val="1"/>
      <charset val="136"/>
    </font>
    <font>
      <sz val="10"/>
      <color theme="1"/>
      <name val="新細明體"/>
      <family val="1"/>
      <charset val="136"/>
      <scheme val="minor"/>
    </font>
    <font>
      <sz val="10"/>
      <color indexed="8"/>
      <name val="Calibri"/>
      <family val="2"/>
    </font>
    <font>
      <sz val="10"/>
      <color theme="1"/>
      <name val="新細明體"/>
      <family val="1"/>
      <charset val="136"/>
    </font>
    <font>
      <b/>
      <sz val="12"/>
      <color theme="1"/>
      <name val="新細明體"/>
      <family val="1"/>
      <charset val="136"/>
      <scheme val="minor"/>
    </font>
    <font>
      <sz val="10"/>
      <color indexed="8"/>
      <name val="標楷體"/>
      <family val="4"/>
      <charset val="136"/>
    </font>
    <font>
      <b/>
      <sz val="10"/>
      <color theme="1"/>
      <name val="Calibri"/>
      <family val="2"/>
    </font>
    <font>
      <b/>
      <sz val="10"/>
      <color theme="1"/>
      <name val="新細明體"/>
      <family val="1"/>
      <charset val="136"/>
      <scheme val="minor"/>
    </font>
    <font>
      <b/>
      <sz val="10"/>
      <color theme="1"/>
      <name val="細明體"/>
      <family val="3"/>
      <charset val="136"/>
    </font>
  </fonts>
  <fills count="3">
    <fill>
      <patternFill patternType="none"/>
    </fill>
    <fill>
      <patternFill patternType="gray125"/>
    </fill>
    <fill>
      <patternFill patternType="solid">
        <fgColor rgb="FFFFFFFF"/>
        <bgColor indexed="64"/>
      </patternFill>
    </fill>
  </fills>
  <borders count="37">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rgb="FF000000"/>
      </bottom>
      <diagonal/>
    </border>
  </borders>
  <cellStyleXfs count="2">
    <xf numFmtId="0" fontId="0" fillId="0" borderId="0">
      <alignment vertical="center"/>
    </xf>
    <xf numFmtId="0" fontId="1" fillId="0" borderId="0">
      <alignment vertical="center"/>
    </xf>
  </cellStyleXfs>
  <cellXfs count="107">
    <xf numFmtId="0" fontId="0" fillId="0" borderId="0" xfId="0">
      <alignment vertical="center"/>
    </xf>
    <xf numFmtId="0" fontId="5" fillId="0" borderId="0" xfId="0" applyFont="1" applyFill="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3" fontId="5" fillId="0" borderId="6" xfId="0" applyNumberFormat="1" applyFont="1" applyFill="1" applyBorder="1" applyAlignment="1" applyProtection="1">
      <alignment vertical="center" wrapText="1"/>
      <protection locked="0"/>
    </xf>
    <xf numFmtId="0" fontId="7" fillId="0" borderId="6"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0" borderId="8" xfId="1" applyFont="1" applyFill="1" applyBorder="1" applyAlignment="1" applyProtection="1">
      <alignment vertical="center" wrapText="1"/>
      <protection locked="0"/>
    </xf>
    <xf numFmtId="0" fontId="5" fillId="0" borderId="9" xfId="1"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7" fillId="0" borderId="0" xfId="0" applyFont="1" applyFill="1" applyAlignment="1">
      <alignment vertical="center" wrapText="1"/>
    </xf>
    <xf numFmtId="0" fontId="7" fillId="0" borderId="0" xfId="0" applyFont="1" applyFill="1" applyBorder="1">
      <alignment vertical="center"/>
    </xf>
    <xf numFmtId="0" fontId="7" fillId="0" borderId="14" xfId="0" applyFont="1" applyFill="1" applyBorder="1">
      <alignment vertical="center"/>
    </xf>
    <xf numFmtId="0" fontId="7" fillId="0" borderId="0" xfId="0" applyFont="1" applyFill="1">
      <alignment vertical="center"/>
    </xf>
    <xf numFmtId="0" fontId="7" fillId="0" borderId="15" xfId="0" applyFont="1" applyFill="1" applyBorder="1" applyAlignment="1">
      <alignment vertical="center" wrapText="1"/>
    </xf>
    <xf numFmtId="0" fontId="7" fillId="0" borderId="6" xfId="0" applyFont="1" applyFill="1" applyBorder="1" applyAlignment="1">
      <alignment vertical="center" wrapText="1"/>
    </xf>
    <xf numFmtId="3" fontId="7" fillId="0" borderId="6" xfId="0" applyNumberFormat="1"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7" xfId="0"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18" xfId="0" applyFont="1" applyFill="1" applyBorder="1" applyAlignment="1">
      <alignment vertical="center" wrapText="1"/>
    </xf>
    <xf numFmtId="0" fontId="7" fillId="0" borderId="2" xfId="0" applyFont="1" applyFill="1" applyBorder="1" applyAlignment="1">
      <alignment vertical="center" wrapText="1"/>
    </xf>
    <xf numFmtId="0" fontId="7" fillId="0" borderId="19" xfId="0" applyFont="1" applyFill="1" applyBorder="1" applyAlignment="1">
      <alignment vertical="center" wrapText="1"/>
    </xf>
    <xf numFmtId="0" fontId="7" fillId="0" borderId="10" xfId="0" applyFont="1" applyFill="1" applyBorder="1" applyAlignment="1">
      <alignment vertical="center" wrapText="1"/>
    </xf>
    <xf numFmtId="0" fontId="7" fillId="0" borderId="16" xfId="0" applyFont="1" applyFill="1" applyBorder="1" applyAlignment="1" applyProtection="1">
      <alignment vertical="center" wrapText="1"/>
      <protection locked="0"/>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3" fontId="7" fillId="0" borderId="22" xfId="0" applyNumberFormat="1" applyFont="1" applyFill="1" applyBorder="1" applyAlignment="1">
      <alignment vertical="center" wrapText="1"/>
    </xf>
    <xf numFmtId="0" fontId="7" fillId="0" borderId="23" xfId="0" applyFont="1" applyFill="1" applyBorder="1" applyAlignment="1">
      <alignment vertical="center" wrapText="1"/>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3" fontId="7" fillId="0" borderId="27" xfId="0" applyNumberFormat="1" applyFont="1" applyFill="1" applyBorder="1" applyAlignment="1">
      <alignment vertical="center" wrapText="1"/>
    </xf>
    <xf numFmtId="0" fontId="7" fillId="0" borderId="24" xfId="0" applyFont="1" applyFill="1" applyBorder="1" applyAlignment="1">
      <alignment vertical="center" wrapText="1"/>
    </xf>
    <xf numFmtId="0" fontId="7" fillId="0" borderId="8" xfId="0" applyFont="1" applyFill="1" applyBorder="1" applyAlignment="1">
      <alignment vertical="center" wrapText="1"/>
    </xf>
    <xf numFmtId="3" fontId="7" fillId="0" borderId="8" xfId="0" applyNumberFormat="1" applyFont="1" applyFill="1" applyBorder="1" applyAlignment="1">
      <alignment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3" fontId="7" fillId="0" borderId="29" xfId="0" applyNumberFormat="1" applyFont="1" applyFill="1" applyBorder="1" applyAlignment="1">
      <alignment vertical="center" wrapText="1"/>
    </xf>
    <xf numFmtId="0" fontId="7" fillId="0" borderId="30" xfId="0" applyFont="1" applyFill="1" applyBorder="1" applyAlignment="1">
      <alignment vertical="center" wrapText="1"/>
    </xf>
    <xf numFmtId="49" fontId="7" fillId="0" borderId="18" xfId="0" applyNumberFormat="1" applyFont="1" applyFill="1" applyBorder="1" applyAlignment="1">
      <alignment vertical="center" wrapText="1"/>
    </xf>
    <xf numFmtId="0" fontId="7" fillId="0" borderId="10" xfId="0" quotePrefix="1" applyFont="1" applyFill="1" applyBorder="1" applyAlignment="1">
      <alignment vertical="center" wrapText="1"/>
    </xf>
    <xf numFmtId="0" fontId="7" fillId="0" borderId="19" xfId="0" quotePrefix="1" applyFont="1" applyFill="1" applyBorder="1" applyAlignment="1">
      <alignmen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vertical="center" wrapText="1"/>
    </xf>
    <xf numFmtId="0" fontId="7" fillId="0" borderId="9"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31" xfId="0" applyFont="1" applyFill="1" applyBorder="1" applyAlignment="1">
      <alignment vertical="center" wrapText="1"/>
    </xf>
    <xf numFmtId="0" fontId="7" fillId="0" borderId="34" xfId="0" applyFont="1" applyFill="1" applyBorder="1">
      <alignment vertical="center"/>
    </xf>
    <xf numFmtId="0" fontId="7" fillId="0" borderId="35" xfId="0" applyFont="1" applyFill="1" applyBorder="1">
      <alignment vertical="center"/>
    </xf>
    <xf numFmtId="3" fontId="7" fillId="0" borderId="3" xfId="0" applyNumberFormat="1" applyFont="1" applyFill="1" applyBorder="1" applyAlignment="1">
      <alignment vertical="center" wrapText="1"/>
    </xf>
    <xf numFmtId="0" fontId="7" fillId="0" borderId="32" xfId="0" applyFont="1" applyFill="1" applyBorder="1">
      <alignment vertical="center"/>
    </xf>
    <xf numFmtId="0" fontId="12" fillId="0" borderId="0" xfId="0" applyFont="1" applyFill="1" applyAlignment="1" applyProtection="1">
      <alignment vertical="center" wrapText="1"/>
      <protection locked="0"/>
    </xf>
    <xf numFmtId="0" fontId="13" fillId="0" borderId="0" xfId="0" applyFont="1" applyFill="1" applyAlignment="1">
      <alignmen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4" fillId="0" borderId="2" xfId="0" applyFont="1" applyBorder="1" applyAlignment="1">
      <alignment horizontal="right"/>
    </xf>
    <xf numFmtId="0" fontId="14" fillId="2" borderId="2" xfId="0" applyFont="1" applyFill="1" applyBorder="1" applyAlignment="1">
      <alignment horizontal="center" vertical="center" wrapText="1"/>
    </xf>
    <xf numFmtId="176" fontId="14" fillId="2"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3" fillId="0" borderId="0" xfId="0" applyFont="1" applyFill="1" applyBorder="1" applyAlignment="1">
      <alignment horizontal="right" vertical="center" wrapText="1"/>
    </xf>
    <xf numFmtId="0" fontId="7" fillId="0" borderId="13" xfId="0" applyFont="1" applyFill="1" applyBorder="1" applyAlignment="1">
      <alignment vertical="center" wrapText="1"/>
    </xf>
    <xf numFmtId="0" fontId="7" fillId="0" borderId="4" xfId="0" applyFont="1" applyFill="1" applyBorder="1" applyAlignment="1">
      <alignment vertical="center" wrapText="1"/>
    </xf>
    <xf numFmtId="0" fontId="7" fillId="0" borderId="11"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17" xfId="0" applyFont="1" applyFill="1" applyBorder="1" applyAlignment="1">
      <alignment vertical="center" wrapText="1"/>
    </xf>
    <xf numFmtId="0" fontId="7" fillId="0" borderId="20" xfId="0" applyFont="1" applyFill="1" applyBorder="1" applyAlignment="1">
      <alignment vertical="center" wrapText="1"/>
    </xf>
    <xf numFmtId="3" fontId="7" fillId="0" borderId="7" xfId="0" applyNumberFormat="1"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8" xfId="0" applyFont="1" applyFill="1" applyBorder="1" applyAlignment="1">
      <alignment vertical="center" wrapText="1"/>
    </xf>
    <xf numFmtId="0" fontId="7" fillId="0" borderId="24" xfId="0" applyFont="1" applyFill="1" applyBorder="1" applyAlignment="1">
      <alignment vertical="center" wrapText="1"/>
    </xf>
    <xf numFmtId="3" fontId="7" fillId="0" borderId="8" xfId="0" applyNumberFormat="1" applyFont="1" applyFill="1" applyBorder="1" applyAlignment="1">
      <alignment vertical="center" wrapText="1"/>
    </xf>
    <xf numFmtId="0" fontId="7" fillId="0" borderId="32" xfId="0" applyFont="1" applyFill="1" applyBorder="1" applyAlignment="1">
      <alignment vertical="center" wrapText="1"/>
    </xf>
    <xf numFmtId="0" fontId="7" fillId="0" borderId="33" xfId="0" applyFont="1" applyFill="1" applyBorder="1" applyAlignment="1">
      <alignment vertical="center" wrapText="1"/>
    </xf>
    <xf numFmtId="0" fontId="7" fillId="0" borderId="36" xfId="0" applyFont="1" applyFill="1" applyBorder="1" applyAlignment="1">
      <alignment vertical="center" wrapText="1"/>
    </xf>
    <xf numFmtId="0" fontId="7" fillId="0" borderId="12" xfId="0" applyFont="1" applyFill="1" applyBorder="1" applyAlignment="1">
      <alignment vertical="center" wrapText="1"/>
    </xf>
    <xf numFmtId="0" fontId="7" fillId="0" borderId="27" xfId="0" applyFont="1" applyFill="1" applyBorder="1" applyAlignment="1">
      <alignment vertical="center" wrapText="1"/>
    </xf>
    <xf numFmtId="0" fontId="7" fillId="0" borderId="26" xfId="0" applyFont="1" applyFill="1" applyBorder="1" applyAlignment="1">
      <alignment vertical="center" wrapText="1"/>
    </xf>
    <xf numFmtId="3" fontId="7" fillId="0" borderId="27" xfId="0" applyNumberFormat="1" applyFont="1" applyFill="1" applyBorder="1" applyAlignment="1">
      <alignment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3"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3" fontId="5" fillId="0" borderId="7" xfId="0" applyNumberFormat="1" applyFont="1" applyFill="1" applyBorder="1" applyAlignment="1" applyProtection="1">
      <alignment vertical="center" wrapText="1"/>
      <protection locked="0"/>
    </xf>
    <xf numFmtId="3" fontId="5" fillId="0" borderId="8" xfId="0" applyNumberFormat="1" applyFont="1" applyFill="1" applyBorder="1" applyAlignment="1" applyProtection="1">
      <alignment vertical="center" wrapText="1"/>
      <protection locked="0"/>
    </xf>
    <xf numFmtId="3" fontId="5" fillId="0" borderId="9" xfId="0" applyNumberFormat="1"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5" fillId="0" borderId="7" xfId="1" applyFont="1" applyFill="1" applyBorder="1" applyAlignment="1" applyProtection="1">
      <alignment vertical="center" wrapText="1"/>
      <protection locked="0"/>
    </xf>
    <xf numFmtId="0" fontId="5" fillId="0" borderId="8" xfId="1" applyFont="1" applyFill="1" applyBorder="1" applyAlignment="1" applyProtection="1">
      <alignment vertical="center" wrapText="1"/>
      <protection locked="0"/>
    </xf>
    <xf numFmtId="0" fontId="5" fillId="0" borderId="9" xfId="1" applyFont="1" applyFill="1" applyBorder="1" applyAlignment="1" applyProtection="1">
      <alignment vertical="center" wrapText="1"/>
      <protection locked="0"/>
    </xf>
    <xf numFmtId="0" fontId="2" fillId="0" borderId="0" xfId="0" applyFont="1" applyFill="1" applyAlignment="1">
      <alignment horizontal="center" vertical="center" wrapText="1"/>
    </xf>
    <xf numFmtId="0" fontId="14" fillId="0" borderId="2" xfId="0" applyFont="1" applyBorder="1" applyAlignment="1">
      <alignment horizontal="center"/>
    </xf>
    <xf numFmtId="0" fontId="14" fillId="2" borderId="2" xfId="0" applyFont="1" applyFill="1" applyBorder="1" applyAlignment="1">
      <alignment horizontal="center" vertical="center"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7"/>
  <sheetViews>
    <sheetView showGridLines="0" tabSelected="1" view="pageBreakPreview" zoomScaleNormal="95" zoomScaleSheetLayoutView="100" workbookViewId="0">
      <selection activeCell="H8" sqref="H8"/>
    </sheetView>
  </sheetViews>
  <sheetFormatPr defaultRowHeight="14.25" x14ac:dyDescent="0.25"/>
  <cols>
    <col min="1" max="1" width="4.625" style="14" customWidth="1"/>
    <col min="2" max="2" width="30.125" style="14" customWidth="1"/>
    <col min="3" max="3" width="9.625" style="14" customWidth="1"/>
    <col min="4" max="5" width="11.625" style="14" customWidth="1"/>
    <col min="6" max="6" width="4.625" style="14" customWidth="1"/>
    <col min="7" max="7" width="35.625" style="14" customWidth="1"/>
    <col min="8" max="8" width="9.625" style="14" customWidth="1"/>
    <col min="9" max="9" width="13.875" style="14" customWidth="1"/>
    <col min="10" max="10" width="13.625" style="14" customWidth="1"/>
    <col min="11" max="11" width="19" style="14" customWidth="1"/>
    <col min="12" max="16384" width="9" style="14"/>
  </cols>
  <sheetData>
    <row r="1" spans="1:11" s="60" customFormat="1" ht="16.5" x14ac:dyDescent="0.25">
      <c r="A1" s="88" t="s">
        <v>0</v>
      </c>
      <c r="B1" s="88"/>
      <c r="C1" s="88"/>
      <c r="D1" s="88"/>
      <c r="E1" s="88"/>
      <c r="F1" s="88"/>
      <c r="G1" s="88"/>
      <c r="H1" s="88"/>
      <c r="I1" s="88"/>
      <c r="J1" s="88"/>
      <c r="K1" s="88"/>
    </row>
    <row r="2" spans="1:11" s="60" customFormat="1" ht="16.5" x14ac:dyDescent="0.25">
      <c r="A2" s="88" t="s">
        <v>125</v>
      </c>
      <c r="B2" s="88"/>
      <c r="C2" s="88"/>
      <c r="D2" s="88"/>
      <c r="E2" s="88"/>
      <c r="F2" s="88"/>
      <c r="G2" s="88"/>
      <c r="H2" s="88"/>
      <c r="I2" s="88"/>
      <c r="J2" s="88"/>
      <c r="K2" s="88"/>
    </row>
    <row r="3" spans="1:11" s="60" customFormat="1" ht="16.5" x14ac:dyDescent="0.25">
      <c r="A3" s="89" t="s">
        <v>1319</v>
      </c>
      <c r="B3" s="89"/>
      <c r="C3" s="89"/>
      <c r="D3" s="89"/>
      <c r="E3" s="89"/>
      <c r="F3" s="89"/>
      <c r="G3" s="89"/>
      <c r="H3" s="89"/>
      <c r="I3" s="89"/>
      <c r="J3" s="89"/>
      <c r="K3" s="89"/>
    </row>
    <row r="4" spans="1:11" s="60" customFormat="1" ht="16.5" x14ac:dyDescent="0.25">
      <c r="A4" s="61"/>
      <c r="B4" s="62"/>
      <c r="C4" s="62"/>
      <c r="D4" s="62"/>
      <c r="E4" s="62"/>
      <c r="F4" s="62"/>
      <c r="G4" s="62"/>
      <c r="H4" s="62"/>
      <c r="I4" s="62"/>
      <c r="J4" s="62"/>
      <c r="K4" s="68" t="s">
        <v>1318</v>
      </c>
    </row>
    <row r="5" spans="1:11" s="59" customFormat="1" ht="14.25" customHeight="1" x14ac:dyDescent="0.25">
      <c r="A5" s="90" t="s">
        <v>2</v>
      </c>
      <c r="B5" s="90"/>
      <c r="C5" s="90"/>
      <c r="D5" s="90"/>
      <c r="E5" s="90"/>
      <c r="F5" s="90" t="s">
        <v>3</v>
      </c>
      <c r="G5" s="90" t="s">
        <v>4</v>
      </c>
      <c r="H5" s="90" t="s">
        <v>5</v>
      </c>
      <c r="I5" s="90" t="s">
        <v>6</v>
      </c>
      <c r="J5" s="90"/>
      <c r="K5" s="66"/>
    </row>
    <row r="6" spans="1:11" s="59" customFormat="1" ht="28.5" x14ac:dyDescent="0.25">
      <c r="A6" s="66" t="s">
        <v>7</v>
      </c>
      <c r="B6" s="66" t="s">
        <v>8</v>
      </c>
      <c r="C6" s="66" t="s">
        <v>9</v>
      </c>
      <c r="D6" s="67" t="s">
        <v>10</v>
      </c>
      <c r="E6" s="67" t="s">
        <v>11</v>
      </c>
      <c r="F6" s="90"/>
      <c r="G6" s="90"/>
      <c r="H6" s="90"/>
      <c r="I6" s="66" t="s">
        <v>12</v>
      </c>
      <c r="J6" s="66" t="s">
        <v>13</v>
      </c>
      <c r="K6" s="66" t="s">
        <v>14</v>
      </c>
    </row>
    <row r="7" spans="1:11" s="17" customFormat="1" x14ac:dyDescent="0.25">
      <c r="A7" s="69" t="s">
        <v>126</v>
      </c>
      <c r="B7" s="70"/>
      <c r="C7" s="15"/>
      <c r="D7" s="15"/>
      <c r="E7" s="15"/>
      <c r="F7" s="15"/>
      <c r="G7" s="15"/>
      <c r="H7" s="15"/>
      <c r="I7" s="15"/>
      <c r="J7" s="15"/>
      <c r="K7" s="16"/>
    </row>
    <row r="8" spans="1:11" ht="32.1" customHeight="1" x14ac:dyDescent="0.25">
      <c r="A8" s="18">
        <v>109</v>
      </c>
      <c r="B8" s="19" t="s">
        <v>127</v>
      </c>
      <c r="C8" s="19" t="s">
        <v>128</v>
      </c>
      <c r="D8" s="20">
        <v>1764000</v>
      </c>
      <c r="E8" s="19"/>
      <c r="F8" s="19">
        <v>4</v>
      </c>
      <c r="G8" s="19" t="s">
        <v>129</v>
      </c>
      <c r="H8" s="19"/>
      <c r="I8" s="19" t="s">
        <v>130</v>
      </c>
      <c r="J8" s="19"/>
      <c r="K8" s="21" t="str">
        <f>"　"</f>
        <v>　</v>
      </c>
    </row>
    <row r="9" spans="1:11" ht="91.5" customHeight="1" x14ac:dyDescent="0.25">
      <c r="A9" s="22">
        <v>109</v>
      </c>
      <c r="B9" s="23" t="s">
        <v>131</v>
      </c>
      <c r="C9" s="23" t="s">
        <v>128</v>
      </c>
      <c r="D9" s="23"/>
      <c r="E9" s="24">
        <v>4006</v>
      </c>
      <c r="F9" s="23">
        <v>4</v>
      </c>
      <c r="G9" s="23" t="s">
        <v>132</v>
      </c>
      <c r="H9" s="23" t="s">
        <v>133</v>
      </c>
      <c r="I9" s="23" t="s">
        <v>134</v>
      </c>
      <c r="J9" s="23" t="s">
        <v>135</v>
      </c>
      <c r="K9" s="25" t="str">
        <f>"00054493"</f>
        <v>00054493</v>
      </c>
    </row>
    <row r="10" spans="1:11" ht="91.5" customHeight="1" x14ac:dyDescent="0.25">
      <c r="A10" s="22">
        <v>109</v>
      </c>
      <c r="B10" s="23" t="s">
        <v>131</v>
      </c>
      <c r="C10" s="23" t="s">
        <v>128</v>
      </c>
      <c r="D10" s="23"/>
      <c r="E10" s="24">
        <v>4356</v>
      </c>
      <c r="F10" s="23">
        <v>4</v>
      </c>
      <c r="G10" s="23" t="s">
        <v>136</v>
      </c>
      <c r="H10" s="23" t="s">
        <v>133</v>
      </c>
      <c r="I10" s="23" t="s">
        <v>134</v>
      </c>
      <c r="J10" s="23" t="s">
        <v>135</v>
      </c>
      <c r="K10" s="25" t="str">
        <f>"00054510"</f>
        <v>00054510</v>
      </c>
    </row>
    <row r="11" spans="1:11" ht="91.5" customHeight="1" x14ac:dyDescent="0.25">
      <c r="A11" s="22">
        <v>109</v>
      </c>
      <c r="B11" s="23" t="s">
        <v>131</v>
      </c>
      <c r="C11" s="23" t="s">
        <v>128</v>
      </c>
      <c r="D11" s="23"/>
      <c r="E11" s="24">
        <v>2239</v>
      </c>
      <c r="F11" s="23">
        <v>4</v>
      </c>
      <c r="G11" s="23" t="s">
        <v>132</v>
      </c>
      <c r="H11" s="23" t="s">
        <v>133</v>
      </c>
      <c r="I11" s="23" t="s">
        <v>134</v>
      </c>
      <c r="J11" s="23" t="s">
        <v>135</v>
      </c>
      <c r="K11" s="26" t="str">
        <f>"00054491"</f>
        <v>00054491</v>
      </c>
    </row>
    <row r="12" spans="1:11" ht="91.5" customHeight="1" x14ac:dyDescent="0.25">
      <c r="A12" s="22">
        <v>109</v>
      </c>
      <c r="B12" s="23" t="s">
        <v>131</v>
      </c>
      <c r="C12" s="23" t="s">
        <v>128</v>
      </c>
      <c r="D12" s="23"/>
      <c r="E12" s="24">
        <v>6577</v>
      </c>
      <c r="F12" s="23">
        <v>4</v>
      </c>
      <c r="G12" s="23" t="s">
        <v>136</v>
      </c>
      <c r="H12" s="23" t="s">
        <v>133</v>
      </c>
      <c r="I12" s="23" t="s">
        <v>134</v>
      </c>
      <c r="J12" s="23" t="s">
        <v>135</v>
      </c>
      <c r="K12" s="27" t="str">
        <f>"00054502"</f>
        <v>00054502</v>
      </c>
    </row>
    <row r="13" spans="1:11" ht="99" customHeight="1" x14ac:dyDescent="0.25">
      <c r="A13" s="22">
        <v>109</v>
      </c>
      <c r="B13" s="23" t="s">
        <v>131</v>
      </c>
      <c r="C13" s="23" t="s">
        <v>128</v>
      </c>
      <c r="D13" s="23"/>
      <c r="E13" s="24">
        <v>2938</v>
      </c>
      <c r="F13" s="23">
        <v>4</v>
      </c>
      <c r="G13" s="23" t="s">
        <v>137</v>
      </c>
      <c r="H13" s="23" t="s">
        <v>133</v>
      </c>
      <c r="I13" s="23" t="s">
        <v>134</v>
      </c>
      <c r="J13" s="23" t="s">
        <v>135</v>
      </c>
      <c r="K13" s="25" t="str">
        <f>"00054499"</f>
        <v>00054499</v>
      </c>
    </row>
    <row r="14" spans="1:11" ht="53.25" customHeight="1" x14ac:dyDescent="0.25">
      <c r="A14" s="22">
        <v>109</v>
      </c>
      <c r="B14" s="23" t="s">
        <v>131</v>
      </c>
      <c r="C14" s="23" t="s">
        <v>128</v>
      </c>
      <c r="D14" s="23"/>
      <c r="E14" s="24">
        <v>3915</v>
      </c>
      <c r="F14" s="23">
        <v>4</v>
      </c>
      <c r="G14" s="23" t="s">
        <v>138</v>
      </c>
      <c r="H14" s="23" t="s">
        <v>133</v>
      </c>
      <c r="I14" s="23" t="s">
        <v>134</v>
      </c>
      <c r="J14" s="23" t="s">
        <v>135</v>
      </c>
      <c r="K14" s="25" t="str">
        <f>"00054492"</f>
        <v>00054492</v>
      </c>
    </row>
    <row r="15" spans="1:11" ht="86.25" customHeight="1" x14ac:dyDescent="0.25">
      <c r="A15" s="22">
        <v>109</v>
      </c>
      <c r="B15" s="23" t="s">
        <v>131</v>
      </c>
      <c r="C15" s="23" t="s">
        <v>128</v>
      </c>
      <c r="D15" s="23"/>
      <c r="E15" s="24">
        <v>4452</v>
      </c>
      <c r="F15" s="23">
        <v>4</v>
      </c>
      <c r="G15" s="23" t="s">
        <v>139</v>
      </c>
      <c r="H15" s="23" t="s">
        <v>133</v>
      </c>
      <c r="I15" s="23" t="s">
        <v>134</v>
      </c>
      <c r="J15" s="23" t="s">
        <v>135</v>
      </c>
      <c r="K15" s="25" t="str">
        <f>"00054500"</f>
        <v>00054500</v>
      </c>
    </row>
    <row r="16" spans="1:11" ht="14.25" customHeight="1" x14ac:dyDescent="0.25">
      <c r="A16" s="74">
        <v>109</v>
      </c>
      <c r="B16" s="72" t="s">
        <v>131</v>
      </c>
      <c r="C16" s="72" t="s">
        <v>128</v>
      </c>
      <c r="D16" s="72"/>
      <c r="E16" s="76">
        <v>1523</v>
      </c>
      <c r="F16" s="72">
        <v>4</v>
      </c>
      <c r="G16" s="72" t="s">
        <v>140</v>
      </c>
      <c r="H16" s="72" t="s">
        <v>141</v>
      </c>
      <c r="I16" s="72" t="s">
        <v>142</v>
      </c>
      <c r="J16" s="72" t="s">
        <v>143</v>
      </c>
      <c r="K16" s="25" t="str">
        <f>"00054494"</f>
        <v>00054494</v>
      </c>
    </row>
    <row r="17" spans="1:11" ht="115.5" customHeight="1" x14ac:dyDescent="0.25">
      <c r="A17" s="75"/>
      <c r="B17" s="73"/>
      <c r="C17" s="73"/>
      <c r="D17" s="73"/>
      <c r="E17" s="77"/>
      <c r="F17" s="73"/>
      <c r="G17" s="73"/>
      <c r="H17" s="73"/>
      <c r="I17" s="73"/>
      <c r="J17" s="73"/>
      <c r="K17" s="28" t="s">
        <v>144</v>
      </c>
    </row>
    <row r="18" spans="1:11" ht="32.1" customHeight="1" x14ac:dyDescent="0.25">
      <c r="A18" s="18">
        <v>109</v>
      </c>
      <c r="B18" s="19" t="s">
        <v>127</v>
      </c>
      <c r="C18" s="19" t="s">
        <v>128</v>
      </c>
      <c r="D18" s="20">
        <v>100000</v>
      </c>
      <c r="E18" s="19"/>
      <c r="F18" s="19">
        <v>4</v>
      </c>
      <c r="G18" s="19" t="s">
        <v>145</v>
      </c>
      <c r="H18" s="19"/>
      <c r="I18" s="19" t="s">
        <v>130</v>
      </c>
      <c r="J18" s="19"/>
      <c r="K18" s="21" t="str">
        <f>"　"</f>
        <v>　</v>
      </c>
    </row>
    <row r="19" spans="1:11" ht="35.1" customHeight="1" x14ac:dyDescent="0.25">
      <c r="A19" s="18">
        <v>109</v>
      </c>
      <c r="B19" s="19" t="s">
        <v>127</v>
      </c>
      <c r="C19" s="19" t="s">
        <v>128</v>
      </c>
      <c r="D19" s="20">
        <v>800000</v>
      </c>
      <c r="E19" s="19"/>
      <c r="F19" s="19">
        <v>4</v>
      </c>
      <c r="G19" s="19" t="s">
        <v>146</v>
      </c>
      <c r="H19" s="19"/>
      <c r="I19" s="19" t="s">
        <v>147</v>
      </c>
      <c r="J19" s="19"/>
      <c r="K19" s="29" t="s">
        <v>20</v>
      </c>
    </row>
    <row r="20" spans="1:11" ht="32.1" customHeight="1" x14ac:dyDescent="0.25">
      <c r="A20" s="18">
        <v>109</v>
      </c>
      <c r="B20" s="19" t="s">
        <v>148</v>
      </c>
      <c r="C20" s="19" t="s">
        <v>128</v>
      </c>
      <c r="D20" s="20">
        <v>242000</v>
      </c>
      <c r="E20" s="19"/>
      <c r="F20" s="19">
        <v>4</v>
      </c>
      <c r="G20" s="19" t="s">
        <v>149</v>
      </c>
      <c r="H20" s="19"/>
      <c r="I20" s="19" t="s">
        <v>130</v>
      </c>
      <c r="J20" s="19"/>
      <c r="K20" s="21" t="str">
        <f>"　"</f>
        <v>　</v>
      </c>
    </row>
    <row r="21" spans="1:11" ht="129.75" customHeight="1" x14ac:dyDescent="0.25">
      <c r="A21" s="22">
        <v>109</v>
      </c>
      <c r="B21" s="23" t="s">
        <v>150</v>
      </c>
      <c r="C21" s="23" t="s">
        <v>128</v>
      </c>
      <c r="D21" s="23"/>
      <c r="E21" s="24">
        <v>28832</v>
      </c>
      <c r="F21" s="23">
        <v>4</v>
      </c>
      <c r="G21" s="23" t="s">
        <v>151</v>
      </c>
      <c r="H21" s="23" t="s">
        <v>152</v>
      </c>
      <c r="I21" s="23" t="s">
        <v>142</v>
      </c>
      <c r="J21" s="23" t="s">
        <v>153</v>
      </c>
      <c r="K21" s="25" t="str">
        <f>"00054266"</f>
        <v>00054266</v>
      </c>
    </row>
    <row r="22" spans="1:11" ht="32.1" customHeight="1" x14ac:dyDescent="0.25">
      <c r="A22" s="18">
        <v>109</v>
      </c>
      <c r="B22" s="19" t="s">
        <v>148</v>
      </c>
      <c r="C22" s="19" t="s">
        <v>128</v>
      </c>
      <c r="D22" s="20">
        <v>118000</v>
      </c>
      <c r="E22" s="19"/>
      <c r="F22" s="19">
        <v>4</v>
      </c>
      <c r="G22" s="19" t="s">
        <v>149</v>
      </c>
      <c r="H22" s="19"/>
      <c r="I22" s="19" t="s">
        <v>154</v>
      </c>
      <c r="J22" s="19"/>
      <c r="K22" s="21" t="str">
        <f>"　"</f>
        <v>　</v>
      </c>
    </row>
    <row r="23" spans="1:11" ht="32.1" customHeight="1" x14ac:dyDescent="0.25">
      <c r="A23" s="18">
        <v>109</v>
      </c>
      <c r="B23" s="19" t="s">
        <v>148</v>
      </c>
      <c r="C23" s="19" t="s">
        <v>128</v>
      </c>
      <c r="D23" s="20">
        <v>1070000</v>
      </c>
      <c r="E23" s="19"/>
      <c r="F23" s="19">
        <v>4</v>
      </c>
      <c r="G23" s="19" t="s">
        <v>149</v>
      </c>
      <c r="H23" s="19"/>
      <c r="I23" s="19" t="s">
        <v>130</v>
      </c>
      <c r="J23" s="19"/>
      <c r="K23" s="21" t="str">
        <f>"　"</f>
        <v>　</v>
      </c>
    </row>
    <row r="24" spans="1:11" ht="37.5" customHeight="1" x14ac:dyDescent="0.25">
      <c r="A24" s="18">
        <v>109</v>
      </c>
      <c r="B24" s="19" t="s">
        <v>148</v>
      </c>
      <c r="C24" s="19" t="s">
        <v>128</v>
      </c>
      <c r="D24" s="20">
        <v>430000</v>
      </c>
      <c r="E24" s="19"/>
      <c r="F24" s="19">
        <v>4</v>
      </c>
      <c r="G24" s="19" t="s">
        <v>155</v>
      </c>
      <c r="H24" s="19"/>
      <c r="I24" s="19" t="s">
        <v>130</v>
      </c>
      <c r="J24" s="19"/>
      <c r="K24" s="29" t="s">
        <v>20</v>
      </c>
    </row>
    <row r="25" spans="1:11" ht="37.5" customHeight="1" x14ac:dyDescent="0.25">
      <c r="A25" s="18">
        <v>109</v>
      </c>
      <c r="B25" s="19" t="s">
        <v>148</v>
      </c>
      <c r="C25" s="19" t="s">
        <v>128</v>
      </c>
      <c r="D25" s="20">
        <v>600000</v>
      </c>
      <c r="E25" s="19"/>
      <c r="F25" s="19">
        <v>4</v>
      </c>
      <c r="G25" s="19" t="s">
        <v>155</v>
      </c>
      <c r="H25" s="19"/>
      <c r="I25" s="19" t="s">
        <v>130</v>
      </c>
      <c r="J25" s="19"/>
      <c r="K25" s="29" t="s">
        <v>20</v>
      </c>
    </row>
    <row r="26" spans="1:11" ht="37.5" customHeight="1" x14ac:dyDescent="0.25">
      <c r="A26" s="18">
        <v>109</v>
      </c>
      <c r="B26" s="19" t="s">
        <v>148</v>
      </c>
      <c r="C26" s="19" t="s">
        <v>128</v>
      </c>
      <c r="D26" s="20">
        <v>460000</v>
      </c>
      <c r="E26" s="19"/>
      <c r="F26" s="19">
        <v>4</v>
      </c>
      <c r="G26" s="19" t="s">
        <v>155</v>
      </c>
      <c r="H26" s="19"/>
      <c r="I26" s="19" t="s">
        <v>130</v>
      </c>
      <c r="J26" s="19"/>
      <c r="K26" s="29" t="s">
        <v>20</v>
      </c>
    </row>
    <row r="27" spans="1:11" ht="37.5" customHeight="1" x14ac:dyDescent="0.25">
      <c r="A27" s="18">
        <v>109</v>
      </c>
      <c r="B27" s="19" t="s">
        <v>148</v>
      </c>
      <c r="C27" s="19" t="s">
        <v>128</v>
      </c>
      <c r="D27" s="20">
        <v>300000</v>
      </c>
      <c r="E27" s="19"/>
      <c r="F27" s="19">
        <v>4</v>
      </c>
      <c r="G27" s="19" t="s">
        <v>155</v>
      </c>
      <c r="H27" s="19"/>
      <c r="I27" s="19" t="s">
        <v>130</v>
      </c>
      <c r="J27" s="19"/>
      <c r="K27" s="29" t="s">
        <v>20</v>
      </c>
    </row>
    <row r="28" spans="1:11" ht="37.5" customHeight="1" x14ac:dyDescent="0.25">
      <c r="A28" s="18">
        <v>109</v>
      </c>
      <c r="B28" s="19" t="s">
        <v>148</v>
      </c>
      <c r="C28" s="19" t="s">
        <v>128</v>
      </c>
      <c r="D28" s="20">
        <v>200000</v>
      </c>
      <c r="E28" s="19"/>
      <c r="F28" s="19">
        <v>4</v>
      </c>
      <c r="G28" s="19" t="s">
        <v>156</v>
      </c>
      <c r="H28" s="19"/>
      <c r="I28" s="19" t="s">
        <v>157</v>
      </c>
      <c r="J28" s="19"/>
      <c r="K28" s="29" t="s">
        <v>20</v>
      </c>
    </row>
    <row r="29" spans="1:11" ht="37.5" customHeight="1" x14ac:dyDescent="0.25">
      <c r="A29" s="18">
        <v>109</v>
      </c>
      <c r="B29" s="19" t="s">
        <v>148</v>
      </c>
      <c r="C29" s="19" t="s">
        <v>128</v>
      </c>
      <c r="D29" s="20">
        <v>200000</v>
      </c>
      <c r="E29" s="19"/>
      <c r="F29" s="19">
        <v>4</v>
      </c>
      <c r="G29" s="19" t="s">
        <v>156</v>
      </c>
      <c r="H29" s="19"/>
      <c r="I29" s="19" t="s">
        <v>157</v>
      </c>
      <c r="J29" s="19"/>
      <c r="K29" s="29" t="s">
        <v>20</v>
      </c>
    </row>
    <row r="30" spans="1:11" ht="37.5" customHeight="1" x14ac:dyDescent="0.25">
      <c r="A30" s="18">
        <v>109</v>
      </c>
      <c r="B30" s="19" t="s">
        <v>148</v>
      </c>
      <c r="C30" s="19" t="s">
        <v>128</v>
      </c>
      <c r="D30" s="20">
        <v>200000</v>
      </c>
      <c r="E30" s="19"/>
      <c r="F30" s="19">
        <v>4</v>
      </c>
      <c r="G30" s="19" t="s">
        <v>156</v>
      </c>
      <c r="H30" s="19"/>
      <c r="I30" s="19" t="s">
        <v>158</v>
      </c>
      <c r="J30" s="19"/>
      <c r="K30" s="29" t="s">
        <v>20</v>
      </c>
    </row>
    <row r="31" spans="1:11" ht="37.5" customHeight="1" x14ac:dyDescent="0.25">
      <c r="A31" s="18">
        <v>109</v>
      </c>
      <c r="B31" s="19" t="s">
        <v>148</v>
      </c>
      <c r="C31" s="19" t="s">
        <v>128</v>
      </c>
      <c r="D31" s="20">
        <v>200000</v>
      </c>
      <c r="E31" s="19"/>
      <c r="F31" s="19">
        <v>4</v>
      </c>
      <c r="G31" s="19" t="s">
        <v>156</v>
      </c>
      <c r="H31" s="19"/>
      <c r="I31" s="19" t="s">
        <v>159</v>
      </c>
      <c r="J31" s="19"/>
      <c r="K31" s="29" t="s">
        <v>20</v>
      </c>
    </row>
    <row r="32" spans="1:11" ht="37.5" customHeight="1" x14ac:dyDescent="0.25">
      <c r="A32" s="18">
        <v>109</v>
      </c>
      <c r="B32" s="19" t="s">
        <v>148</v>
      </c>
      <c r="C32" s="19" t="s">
        <v>128</v>
      </c>
      <c r="D32" s="20">
        <v>650000</v>
      </c>
      <c r="E32" s="19"/>
      <c r="F32" s="19">
        <v>4</v>
      </c>
      <c r="G32" s="19" t="s">
        <v>160</v>
      </c>
      <c r="H32" s="19"/>
      <c r="I32" s="19" t="s">
        <v>130</v>
      </c>
      <c r="J32" s="19"/>
      <c r="K32" s="29" t="s">
        <v>20</v>
      </c>
    </row>
    <row r="33" spans="1:11" ht="37.5" customHeight="1" x14ac:dyDescent="0.25">
      <c r="A33" s="18">
        <v>109</v>
      </c>
      <c r="B33" s="19" t="s">
        <v>161</v>
      </c>
      <c r="C33" s="19" t="s">
        <v>128</v>
      </c>
      <c r="D33" s="20">
        <v>325000</v>
      </c>
      <c r="E33" s="19"/>
      <c r="F33" s="19">
        <v>4</v>
      </c>
      <c r="G33" s="19" t="s">
        <v>161</v>
      </c>
      <c r="H33" s="19"/>
      <c r="I33" s="19" t="s">
        <v>147</v>
      </c>
      <c r="J33" s="19"/>
      <c r="K33" s="29" t="s">
        <v>20</v>
      </c>
    </row>
    <row r="34" spans="1:11" ht="32.1" customHeight="1" x14ac:dyDescent="0.25">
      <c r="A34" s="18">
        <v>109</v>
      </c>
      <c r="B34" s="19" t="s">
        <v>127</v>
      </c>
      <c r="C34" s="19" t="s">
        <v>128</v>
      </c>
      <c r="D34" s="20">
        <v>48950000</v>
      </c>
      <c r="E34" s="19"/>
      <c r="F34" s="19">
        <v>4</v>
      </c>
      <c r="G34" s="19" t="s">
        <v>162</v>
      </c>
      <c r="H34" s="19"/>
      <c r="I34" s="19" t="s">
        <v>147</v>
      </c>
      <c r="J34" s="19"/>
      <c r="K34" s="21" t="str">
        <f>"　"</f>
        <v>　</v>
      </c>
    </row>
    <row r="35" spans="1:11" ht="48.75" customHeight="1" x14ac:dyDescent="0.25">
      <c r="A35" s="22">
        <v>109</v>
      </c>
      <c r="B35" s="23" t="s">
        <v>163</v>
      </c>
      <c r="C35" s="23" t="s">
        <v>128</v>
      </c>
      <c r="D35" s="23"/>
      <c r="E35" s="24">
        <v>4391</v>
      </c>
      <c r="F35" s="23">
        <v>4</v>
      </c>
      <c r="G35" s="23" t="s">
        <v>164</v>
      </c>
      <c r="H35" s="23" t="s">
        <v>165</v>
      </c>
      <c r="I35" s="23" t="s">
        <v>166</v>
      </c>
      <c r="J35" s="23" t="s">
        <v>167</v>
      </c>
      <c r="K35" s="25" t="str">
        <f>"00053554"</f>
        <v>00053554</v>
      </c>
    </row>
    <row r="36" spans="1:11" ht="83.25" customHeight="1" x14ac:dyDescent="0.25">
      <c r="A36" s="22">
        <v>109</v>
      </c>
      <c r="B36" s="23" t="s">
        <v>168</v>
      </c>
      <c r="C36" s="23" t="s">
        <v>128</v>
      </c>
      <c r="D36" s="23"/>
      <c r="E36" s="24">
        <v>21707</v>
      </c>
      <c r="F36" s="23">
        <v>4</v>
      </c>
      <c r="G36" s="23" t="s">
        <v>169</v>
      </c>
      <c r="H36" s="23" t="s">
        <v>170</v>
      </c>
      <c r="I36" s="23" t="s">
        <v>166</v>
      </c>
      <c r="J36" s="23" t="s">
        <v>171</v>
      </c>
      <c r="K36" s="25" t="str">
        <f>"00053553"</f>
        <v>00053553</v>
      </c>
    </row>
    <row r="37" spans="1:11" ht="14.25" customHeight="1" x14ac:dyDescent="0.25">
      <c r="A37" s="74">
        <v>109</v>
      </c>
      <c r="B37" s="72" t="s">
        <v>172</v>
      </c>
      <c r="C37" s="72" t="s">
        <v>128</v>
      </c>
      <c r="D37" s="72"/>
      <c r="E37" s="76">
        <v>2800</v>
      </c>
      <c r="F37" s="72">
        <v>4</v>
      </c>
      <c r="G37" s="72" t="s">
        <v>173</v>
      </c>
      <c r="H37" s="72" t="s">
        <v>174</v>
      </c>
      <c r="I37" s="72" t="s">
        <v>175</v>
      </c>
      <c r="J37" s="72" t="s">
        <v>176</v>
      </c>
      <c r="K37" s="25" t="str">
        <f>"00053624"</f>
        <v>00053624</v>
      </c>
    </row>
    <row r="38" spans="1:11" ht="45" customHeight="1" x14ac:dyDescent="0.25">
      <c r="A38" s="75"/>
      <c r="B38" s="73"/>
      <c r="C38" s="73"/>
      <c r="D38" s="73"/>
      <c r="E38" s="77"/>
      <c r="F38" s="73"/>
      <c r="G38" s="73"/>
      <c r="H38" s="73"/>
      <c r="I38" s="73"/>
      <c r="J38" s="73"/>
      <c r="K38" s="28" t="s">
        <v>177</v>
      </c>
    </row>
    <row r="39" spans="1:11" ht="57.75" customHeight="1" x14ac:dyDescent="0.25">
      <c r="A39" s="30">
        <v>109</v>
      </c>
      <c r="B39" s="31" t="s">
        <v>178</v>
      </c>
      <c r="C39" s="31" t="s">
        <v>128</v>
      </c>
      <c r="D39" s="31"/>
      <c r="E39" s="32">
        <v>65762</v>
      </c>
      <c r="F39" s="31">
        <v>4</v>
      </c>
      <c r="G39" s="31" t="s">
        <v>179</v>
      </c>
      <c r="H39" s="31" t="s">
        <v>180</v>
      </c>
      <c r="I39" s="31" t="s">
        <v>166</v>
      </c>
      <c r="J39" s="31" t="s">
        <v>181</v>
      </c>
      <c r="K39" s="33" t="str">
        <f>"00053388"</f>
        <v>00053388</v>
      </c>
    </row>
    <row r="40" spans="1:11" ht="33" customHeight="1" x14ac:dyDescent="0.25">
      <c r="A40" s="79">
        <v>109</v>
      </c>
      <c r="B40" s="78" t="s">
        <v>182</v>
      </c>
      <c r="C40" s="78" t="s">
        <v>128</v>
      </c>
      <c r="D40" s="78"/>
      <c r="E40" s="80">
        <v>46705</v>
      </c>
      <c r="F40" s="78">
        <v>4</v>
      </c>
      <c r="G40" s="78" t="s">
        <v>183</v>
      </c>
      <c r="H40" s="78" t="s">
        <v>184</v>
      </c>
      <c r="I40" s="78" t="s">
        <v>185</v>
      </c>
      <c r="J40" s="78" t="s">
        <v>186</v>
      </c>
      <c r="K40" s="27" t="str">
        <f>"00053377"</f>
        <v>00053377</v>
      </c>
    </row>
    <row r="41" spans="1:11" ht="25.5" customHeight="1" x14ac:dyDescent="0.25">
      <c r="A41" s="75"/>
      <c r="B41" s="73"/>
      <c r="C41" s="73"/>
      <c r="D41" s="73"/>
      <c r="E41" s="77"/>
      <c r="F41" s="73"/>
      <c r="G41" s="73"/>
      <c r="H41" s="73"/>
      <c r="I41" s="73"/>
      <c r="J41" s="73"/>
      <c r="K41" s="34" t="s">
        <v>32</v>
      </c>
    </row>
    <row r="42" spans="1:11" ht="24.95" customHeight="1" x14ac:dyDescent="0.25">
      <c r="A42" s="74">
        <v>109</v>
      </c>
      <c r="B42" s="72" t="s">
        <v>182</v>
      </c>
      <c r="C42" s="72" t="s">
        <v>128</v>
      </c>
      <c r="D42" s="72"/>
      <c r="E42" s="76">
        <v>26850</v>
      </c>
      <c r="F42" s="72">
        <v>4</v>
      </c>
      <c r="G42" s="72" t="s">
        <v>187</v>
      </c>
      <c r="H42" s="72" t="s">
        <v>184</v>
      </c>
      <c r="I42" s="72" t="s">
        <v>185</v>
      </c>
      <c r="J42" s="72" t="s">
        <v>188</v>
      </c>
      <c r="K42" s="27" t="str">
        <f>"00053399"</f>
        <v>00053399</v>
      </c>
    </row>
    <row r="43" spans="1:11" ht="27.95" customHeight="1" x14ac:dyDescent="0.25">
      <c r="A43" s="75"/>
      <c r="B43" s="73"/>
      <c r="C43" s="73"/>
      <c r="D43" s="73"/>
      <c r="E43" s="77"/>
      <c r="F43" s="73"/>
      <c r="G43" s="73"/>
      <c r="H43" s="73"/>
      <c r="I43" s="73"/>
      <c r="J43" s="73"/>
      <c r="K43" s="27" t="s">
        <v>32</v>
      </c>
    </row>
    <row r="44" spans="1:11" ht="33" customHeight="1" x14ac:dyDescent="0.25">
      <c r="A44" s="74">
        <v>109</v>
      </c>
      <c r="B44" s="72" t="s">
        <v>189</v>
      </c>
      <c r="C44" s="72" t="s">
        <v>128</v>
      </c>
      <c r="D44" s="72"/>
      <c r="E44" s="76">
        <v>184080</v>
      </c>
      <c r="F44" s="72">
        <v>4</v>
      </c>
      <c r="G44" s="72" t="s">
        <v>190</v>
      </c>
      <c r="H44" s="72" t="s">
        <v>191</v>
      </c>
      <c r="I44" s="72" t="s">
        <v>192</v>
      </c>
      <c r="J44" s="72" t="s">
        <v>193</v>
      </c>
      <c r="K44" s="25" t="str">
        <f>"00053536"</f>
        <v>00053536</v>
      </c>
    </row>
    <row r="45" spans="1:11" ht="48" customHeight="1" x14ac:dyDescent="0.25">
      <c r="A45" s="75"/>
      <c r="B45" s="73"/>
      <c r="C45" s="73"/>
      <c r="D45" s="73"/>
      <c r="E45" s="77"/>
      <c r="F45" s="73"/>
      <c r="G45" s="73"/>
      <c r="H45" s="73"/>
      <c r="I45" s="73"/>
      <c r="J45" s="73"/>
      <c r="K45" s="27" t="s">
        <v>32</v>
      </c>
    </row>
    <row r="46" spans="1:11" ht="24.95" customHeight="1" x14ac:dyDescent="0.25">
      <c r="A46" s="74">
        <v>109</v>
      </c>
      <c r="B46" s="72" t="s">
        <v>194</v>
      </c>
      <c r="C46" s="72" t="s">
        <v>128</v>
      </c>
      <c r="D46" s="72"/>
      <c r="E46" s="76">
        <v>22625</v>
      </c>
      <c r="F46" s="72">
        <v>4</v>
      </c>
      <c r="G46" s="72" t="s">
        <v>195</v>
      </c>
      <c r="H46" s="72" t="s">
        <v>196</v>
      </c>
      <c r="I46" s="72" t="s">
        <v>197</v>
      </c>
      <c r="J46" s="72" t="s">
        <v>197</v>
      </c>
      <c r="K46" s="25" t="str">
        <f>"00053424"</f>
        <v>00053424</v>
      </c>
    </row>
    <row r="47" spans="1:11" ht="27.95" customHeight="1" x14ac:dyDescent="0.25">
      <c r="A47" s="75"/>
      <c r="B47" s="73"/>
      <c r="C47" s="73"/>
      <c r="D47" s="73"/>
      <c r="E47" s="77"/>
      <c r="F47" s="73"/>
      <c r="G47" s="73"/>
      <c r="H47" s="73"/>
      <c r="I47" s="73"/>
      <c r="J47" s="73"/>
      <c r="K47" s="27" t="s">
        <v>32</v>
      </c>
    </row>
    <row r="48" spans="1:11" ht="33.75" customHeight="1" x14ac:dyDescent="0.25">
      <c r="A48" s="74">
        <v>109</v>
      </c>
      <c r="B48" s="72" t="s">
        <v>194</v>
      </c>
      <c r="C48" s="72" t="s">
        <v>128</v>
      </c>
      <c r="D48" s="72"/>
      <c r="E48" s="76">
        <v>5119</v>
      </c>
      <c r="F48" s="72">
        <v>4</v>
      </c>
      <c r="G48" s="72" t="s">
        <v>198</v>
      </c>
      <c r="H48" s="72" t="s">
        <v>199</v>
      </c>
      <c r="I48" s="72" t="s">
        <v>197</v>
      </c>
      <c r="J48" s="72" t="s">
        <v>197</v>
      </c>
      <c r="K48" s="25" t="str">
        <f>"00053427"</f>
        <v>00053427</v>
      </c>
    </row>
    <row r="49" spans="1:11" ht="33.75" customHeight="1" x14ac:dyDescent="0.25">
      <c r="A49" s="75"/>
      <c r="B49" s="73"/>
      <c r="C49" s="73"/>
      <c r="D49" s="73"/>
      <c r="E49" s="77"/>
      <c r="F49" s="73"/>
      <c r="G49" s="73"/>
      <c r="H49" s="73"/>
      <c r="I49" s="73"/>
      <c r="J49" s="73"/>
      <c r="K49" s="27" t="s">
        <v>32</v>
      </c>
    </row>
    <row r="50" spans="1:11" ht="42.75" customHeight="1" x14ac:dyDescent="0.25">
      <c r="A50" s="22">
        <v>109</v>
      </c>
      <c r="B50" s="23" t="s">
        <v>194</v>
      </c>
      <c r="C50" s="23" t="s">
        <v>128</v>
      </c>
      <c r="D50" s="23"/>
      <c r="E50" s="24">
        <v>10750</v>
      </c>
      <c r="F50" s="23">
        <v>4</v>
      </c>
      <c r="G50" s="23" t="s">
        <v>195</v>
      </c>
      <c r="H50" s="23" t="s">
        <v>199</v>
      </c>
      <c r="I50" s="23" t="s">
        <v>197</v>
      </c>
      <c r="J50" s="23" t="s">
        <v>197</v>
      </c>
      <c r="K50" s="25" t="str">
        <f>"00053442"</f>
        <v>00053442</v>
      </c>
    </row>
    <row r="51" spans="1:11" ht="24.95" customHeight="1" x14ac:dyDescent="0.25">
      <c r="A51" s="74">
        <v>109</v>
      </c>
      <c r="B51" s="72" t="s">
        <v>200</v>
      </c>
      <c r="C51" s="72" t="s">
        <v>128</v>
      </c>
      <c r="D51" s="72"/>
      <c r="E51" s="76">
        <v>44885</v>
      </c>
      <c r="F51" s="72">
        <v>4</v>
      </c>
      <c r="G51" s="72" t="s">
        <v>201</v>
      </c>
      <c r="H51" s="72" t="s">
        <v>202</v>
      </c>
      <c r="I51" s="72" t="s">
        <v>175</v>
      </c>
      <c r="J51" s="72" t="s">
        <v>203</v>
      </c>
      <c r="K51" s="25" t="str">
        <f>"00053502"</f>
        <v>00053502</v>
      </c>
    </row>
    <row r="52" spans="1:11" ht="27.75" customHeight="1" x14ac:dyDescent="0.25">
      <c r="A52" s="75"/>
      <c r="B52" s="73"/>
      <c r="C52" s="73"/>
      <c r="D52" s="73"/>
      <c r="E52" s="77"/>
      <c r="F52" s="73"/>
      <c r="G52" s="73"/>
      <c r="H52" s="73"/>
      <c r="I52" s="73"/>
      <c r="J52" s="73"/>
      <c r="K52" s="27" t="s">
        <v>32</v>
      </c>
    </row>
    <row r="53" spans="1:11" ht="24.95" customHeight="1" x14ac:dyDescent="0.25">
      <c r="A53" s="74">
        <v>109</v>
      </c>
      <c r="B53" s="72" t="s">
        <v>204</v>
      </c>
      <c r="C53" s="72" t="s">
        <v>128</v>
      </c>
      <c r="D53" s="72"/>
      <c r="E53" s="76">
        <v>173533</v>
      </c>
      <c r="F53" s="72">
        <v>4</v>
      </c>
      <c r="G53" s="72" t="s">
        <v>205</v>
      </c>
      <c r="H53" s="72" t="s">
        <v>206</v>
      </c>
      <c r="I53" s="72" t="s">
        <v>142</v>
      </c>
      <c r="J53" s="72" t="s">
        <v>207</v>
      </c>
      <c r="K53" s="25" t="str">
        <f>"00053723"</f>
        <v>00053723</v>
      </c>
    </row>
    <row r="54" spans="1:11" ht="33" customHeight="1" x14ac:dyDescent="0.25">
      <c r="A54" s="75"/>
      <c r="B54" s="73"/>
      <c r="C54" s="73"/>
      <c r="D54" s="73"/>
      <c r="E54" s="77"/>
      <c r="F54" s="73"/>
      <c r="G54" s="73"/>
      <c r="H54" s="73"/>
      <c r="I54" s="73"/>
      <c r="J54" s="73"/>
      <c r="K54" s="27" t="s">
        <v>32</v>
      </c>
    </row>
    <row r="55" spans="1:11" ht="24.95" customHeight="1" x14ac:dyDescent="0.25">
      <c r="A55" s="74">
        <v>109</v>
      </c>
      <c r="B55" s="72" t="s">
        <v>208</v>
      </c>
      <c r="C55" s="72" t="s">
        <v>128</v>
      </c>
      <c r="D55" s="72"/>
      <c r="E55" s="76">
        <v>53931</v>
      </c>
      <c r="F55" s="72">
        <v>4</v>
      </c>
      <c r="G55" s="72" t="s">
        <v>209</v>
      </c>
      <c r="H55" s="72" t="s">
        <v>210</v>
      </c>
      <c r="I55" s="72" t="s">
        <v>166</v>
      </c>
      <c r="J55" s="72" t="s">
        <v>181</v>
      </c>
      <c r="K55" s="25" t="str">
        <f>"00053551"</f>
        <v>00053551</v>
      </c>
    </row>
    <row r="56" spans="1:11" ht="27.95" customHeight="1" x14ac:dyDescent="0.25">
      <c r="A56" s="75"/>
      <c r="B56" s="73"/>
      <c r="C56" s="73"/>
      <c r="D56" s="73"/>
      <c r="E56" s="77"/>
      <c r="F56" s="73"/>
      <c r="G56" s="73"/>
      <c r="H56" s="73"/>
      <c r="I56" s="73"/>
      <c r="J56" s="73"/>
      <c r="K56" s="27" t="s">
        <v>32</v>
      </c>
    </row>
    <row r="57" spans="1:11" ht="24.95" customHeight="1" x14ac:dyDescent="0.25">
      <c r="A57" s="74">
        <v>109</v>
      </c>
      <c r="B57" s="72" t="s">
        <v>208</v>
      </c>
      <c r="C57" s="72" t="s">
        <v>128</v>
      </c>
      <c r="D57" s="72"/>
      <c r="E57" s="76">
        <v>77119</v>
      </c>
      <c r="F57" s="72">
        <v>4</v>
      </c>
      <c r="G57" s="72" t="s">
        <v>211</v>
      </c>
      <c r="H57" s="72" t="s">
        <v>212</v>
      </c>
      <c r="I57" s="72" t="s">
        <v>166</v>
      </c>
      <c r="J57" s="72" t="s">
        <v>181</v>
      </c>
      <c r="K57" s="25" t="str">
        <f>"00053538"</f>
        <v>00053538</v>
      </c>
    </row>
    <row r="58" spans="1:11" ht="27.95" customHeight="1" x14ac:dyDescent="0.25">
      <c r="A58" s="75"/>
      <c r="B58" s="73"/>
      <c r="C58" s="73"/>
      <c r="D58" s="73"/>
      <c r="E58" s="77"/>
      <c r="F58" s="73"/>
      <c r="G58" s="73"/>
      <c r="H58" s="73"/>
      <c r="I58" s="73"/>
      <c r="J58" s="73"/>
      <c r="K58" s="27" t="s">
        <v>32</v>
      </c>
    </row>
    <row r="59" spans="1:11" ht="24.95" customHeight="1" x14ac:dyDescent="0.25">
      <c r="A59" s="74">
        <v>109</v>
      </c>
      <c r="B59" s="72" t="s">
        <v>208</v>
      </c>
      <c r="C59" s="72" t="s">
        <v>128</v>
      </c>
      <c r="D59" s="72"/>
      <c r="E59" s="76">
        <v>71388</v>
      </c>
      <c r="F59" s="72">
        <v>4</v>
      </c>
      <c r="G59" s="72" t="s">
        <v>209</v>
      </c>
      <c r="H59" s="72" t="s">
        <v>213</v>
      </c>
      <c r="I59" s="72" t="s">
        <v>166</v>
      </c>
      <c r="J59" s="72" t="s">
        <v>181</v>
      </c>
      <c r="K59" s="25" t="str">
        <f>"00053549"</f>
        <v>00053549</v>
      </c>
    </row>
    <row r="60" spans="1:11" ht="30" customHeight="1" x14ac:dyDescent="0.25">
      <c r="A60" s="75"/>
      <c r="B60" s="73"/>
      <c r="C60" s="73"/>
      <c r="D60" s="73"/>
      <c r="E60" s="77"/>
      <c r="F60" s="73"/>
      <c r="G60" s="73"/>
      <c r="H60" s="73"/>
      <c r="I60" s="73"/>
      <c r="J60" s="73"/>
      <c r="K60" s="27" t="s">
        <v>32</v>
      </c>
    </row>
    <row r="61" spans="1:11" ht="24.95" customHeight="1" x14ac:dyDescent="0.25">
      <c r="A61" s="74">
        <v>109</v>
      </c>
      <c r="B61" s="72" t="s">
        <v>208</v>
      </c>
      <c r="C61" s="72" t="s">
        <v>128</v>
      </c>
      <c r="D61" s="72"/>
      <c r="E61" s="76">
        <v>70189</v>
      </c>
      <c r="F61" s="72">
        <v>4</v>
      </c>
      <c r="G61" s="72" t="s">
        <v>214</v>
      </c>
      <c r="H61" s="72" t="s">
        <v>213</v>
      </c>
      <c r="I61" s="72" t="s">
        <v>166</v>
      </c>
      <c r="J61" s="72" t="s">
        <v>181</v>
      </c>
      <c r="K61" s="25" t="str">
        <f>"00053811"</f>
        <v>00053811</v>
      </c>
    </row>
    <row r="62" spans="1:11" ht="27.95" customHeight="1" x14ac:dyDescent="0.25">
      <c r="A62" s="75"/>
      <c r="B62" s="73"/>
      <c r="C62" s="73"/>
      <c r="D62" s="73"/>
      <c r="E62" s="77"/>
      <c r="F62" s="73"/>
      <c r="G62" s="73"/>
      <c r="H62" s="73"/>
      <c r="I62" s="73"/>
      <c r="J62" s="73"/>
      <c r="K62" s="27" t="s">
        <v>32</v>
      </c>
    </row>
    <row r="63" spans="1:11" ht="24.95" customHeight="1" x14ac:dyDescent="0.25">
      <c r="A63" s="74">
        <v>109</v>
      </c>
      <c r="B63" s="72" t="s">
        <v>208</v>
      </c>
      <c r="C63" s="72" t="s">
        <v>128</v>
      </c>
      <c r="D63" s="72"/>
      <c r="E63" s="76">
        <v>71397</v>
      </c>
      <c r="F63" s="72">
        <v>4</v>
      </c>
      <c r="G63" s="72" t="s">
        <v>215</v>
      </c>
      <c r="H63" s="72" t="s">
        <v>213</v>
      </c>
      <c r="I63" s="72" t="s">
        <v>166</v>
      </c>
      <c r="J63" s="72" t="s">
        <v>181</v>
      </c>
      <c r="K63" s="25" t="str">
        <f>"00053535"</f>
        <v>00053535</v>
      </c>
    </row>
    <row r="64" spans="1:11" ht="27.95" customHeight="1" x14ac:dyDescent="0.25">
      <c r="A64" s="75"/>
      <c r="B64" s="73"/>
      <c r="C64" s="73"/>
      <c r="D64" s="73"/>
      <c r="E64" s="77"/>
      <c r="F64" s="73"/>
      <c r="G64" s="73"/>
      <c r="H64" s="73"/>
      <c r="I64" s="73"/>
      <c r="J64" s="73"/>
      <c r="K64" s="27" t="s">
        <v>32</v>
      </c>
    </row>
    <row r="65" spans="1:11" ht="24.95" customHeight="1" x14ac:dyDescent="0.25">
      <c r="A65" s="74">
        <v>109</v>
      </c>
      <c r="B65" s="72" t="s">
        <v>208</v>
      </c>
      <c r="C65" s="72" t="s">
        <v>128</v>
      </c>
      <c r="D65" s="72"/>
      <c r="E65" s="76">
        <v>70238</v>
      </c>
      <c r="F65" s="72">
        <v>4</v>
      </c>
      <c r="G65" s="72" t="s">
        <v>215</v>
      </c>
      <c r="H65" s="72" t="s">
        <v>213</v>
      </c>
      <c r="I65" s="72" t="s">
        <v>166</v>
      </c>
      <c r="J65" s="72" t="s">
        <v>181</v>
      </c>
      <c r="K65" s="25" t="str">
        <f>"00053537"</f>
        <v>00053537</v>
      </c>
    </row>
    <row r="66" spans="1:11" ht="27.95" customHeight="1" x14ac:dyDescent="0.25">
      <c r="A66" s="86"/>
      <c r="B66" s="85"/>
      <c r="C66" s="85"/>
      <c r="D66" s="85"/>
      <c r="E66" s="87"/>
      <c r="F66" s="85"/>
      <c r="G66" s="85"/>
      <c r="H66" s="85"/>
      <c r="I66" s="85"/>
      <c r="J66" s="85"/>
      <c r="K66" s="34" t="s">
        <v>32</v>
      </c>
    </row>
    <row r="67" spans="1:11" ht="36.75" customHeight="1" x14ac:dyDescent="0.25">
      <c r="A67" s="79">
        <v>109</v>
      </c>
      <c r="B67" s="78" t="s">
        <v>216</v>
      </c>
      <c r="C67" s="78" t="s">
        <v>128</v>
      </c>
      <c r="D67" s="78"/>
      <c r="E67" s="80">
        <v>47968</v>
      </c>
      <c r="F67" s="78">
        <v>4</v>
      </c>
      <c r="G67" s="78" t="s">
        <v>217</v>
      </c>
      <c r="H67" s="78" t="s">
        <v>218</v>
      </c>
      <c r="I67" s="78" t="s">
        <v>166</v>
      </c>
      <c r="J67" s="78" t="s">
        <v>181</v>
      </c>
      <c r="K67" s="27" t="str">
        <f>"00053875"</f>
        <v>00053875</v>
      </c>
    </row>
    <row r="68" spans="1:11" ht="32.25" customHeight="1" x14ac:dyDescent="0.25">
      <c r="A68" s="75"/>
      <c r="B68" s="73"/>
      <c r="C68" s="73"/>
      <c r="D68" s="73"/>
      <c r="E68" s="77"/>
      <c r="F68" s="73"/>
      <c r="G68" s="73"/>
      <c r="H68" s="73"/>
      <c r="I68" s="73"/>
      <c r="J68" s="73"/>
      <c r="K68" s="34" t="s">
        <v>32</v>
      </c>
    </row>
    <row r="69" spans="1:11" ht="79.5" customHeight="1" x14ac:dyDescent="0.25">
      <c r="A69" s="22">
        <v>109</v>
      </c>
      <c r="B69" s="23" t="s">
        <v>219</v>
      </c>
      <c r="C69" s="23" t="s">
        <v>128</v>
      </c>
      <c r="D69" s="23"/>
      <c r="E69" s="24">
        <v>29302</v>
      </c>
      <c r="F69" s="23">
        <v>4</v>
      </c>
      <c r="G69" s="23" t="s">
        <v>220</v>
      </c>
      <c r="H69" s="23" t="s">
        <v>221</v>
      </c>
      <c r="I69" s="23" t="s">
        <v>142</v>
      </c>
      <c r="J69" s="23" t="s">
        <v>222</v>
      </c>
      <c r="K69" s="27" t="str">
        <f>"00053802"</f>
        <v>00053802</v>
      </c>
    </row>
    <row r="70" spans="1:11" ht="27" customHeight="1" x14ac:dyDescent="0.25">
      <c r="A70" s="74">
        <v>109</v>
      </c>
      <c r="B70" s="72" t="s">
        <v>223</v>
      </c>
      <c r="C70" s="72" t="s">
        <v>128</v>
      </c>
      <c r="D70" s="72"/>
      <c r="E70" s="76">
        <v>27234</v>
      </c>
      <c r="F70" s="72">
        <v>4</v>
      </c>
      <c r="G70" s="72" t="s">
        <v>224</v>
      </c>
      <c r="H70" s="72" t="s">
        <v>225</v>
      </c>
      <c r="I70" s="72" t="s">
        <v>142</v>
      </c>
      <c r="J70" s="72" t="s">
        <v>226</v>
      </c>
      <c r="K70" s="25" t="str">
        <f>"00053962"</f>
        <v>00053962</v>
      </c>
    </row>
    <row r="71" spans="1:11" ht="23.25" customHeight="1" x14ac:dyDescent="0.25">
      <c r="A71" s="75"/>
      <c r="B71" s="73"/>
      <c r="C71" s="73"/>
      <c r="D71" s="73"/>
      <c r="E71" s="77"/>
      <c r="F71" s="73"/>
      <c r="G71" s="73"/>
      <c r="H71" s="73"/>
      <c r="I71" s="73"/>
      <c r="J71" s="73"/>
      <c r="K71" s="27" t="s">
        <v>32</v>
      </c>
    </row>
    <row r="72" spans="1:11" ht="28.5" customHeight="1" x14ac:dyDescent="0.25">
      <c r="A72" s="74">
        <v>109</v>
      </c>
      <c r="B72" s="72" t="s">
        <v>227</v>
      </c>
      <c r="C72" s="72" t="s">
        <v>128</v>
      </c>
      <c r="D72" s="72"/>
      <c r="E72" s="76">
        <v>6000</v>
      </c>
      <c r="F72" s="72">
        <v>4</v>
      </c>
      <c r="G72" s="72" t="s">
        <v>228</v>
      </c>
      <c r="H72" s="72" t="s">
        <v>229</v>
      </c>
      <c r="I72" s="72" t="s">
        <v>142</v>
      </c>
      <c r="J72" s="72" t="s">
        <v>226</v>
      </c>
      <c r="K72" s="25" t="str">
        <f>"00053843"</f>
        <v>00053843</v>
      </c>
    </row>
    <row r="73" spans="1:11" ht="28.5" customHeight="1" x14ac:dyDescent="0.25">
      <c r="A73" s="75"/>
      <c r="B73" s="73"/>
      <c r="C73" s="73"/>
      <c r="D73" s="73"/>
      <c r="E73" s="77"/>
      <c r="F73" s="73"/>
      <c r="G73" s="73"/>
      <c r="H73" s="73"/>
      <c r="I73" s="73"/>
      <c r="J73" s="73"/>
      <c r="K73" s="34" t="s">
        <v>32</v>
      </c>
    </row>
    <row r="74" spans="1:11" ht="28.5" customHeight="1" x14ac:dyDescent="0.25">
      <c r="A74" s="74">
        <v>109</v>
      </c>
      <c r="B74" s="72" t="s">
        <v>230</v>
      </c>
      <c r="C74" s="72" t="s">
        <v>128</v>
      </c>
      <c r="D74" s="72"/>
      <c r="E74" s="76">
        <v>30226</v>
      </c>
      <c r="F74" s="72">
        <v>4</v>
      </c>
      <c r="G74" s="72" t="s">
        <v>231</v>
      </c>
      <c r="H74" s="72" t="s">
        <v>232</v>
      </c>
      <c r="I74" s="72" t="s">
        <v>142</v>
      </c>
      <c r="J74" s="72" t="s">
        <v>226</v>
      </c>
      <c r="K74" s="27" t="str">
        <f>"00053678"</f>
        <v>00053678</v>
      </c>
    </row>
    <row r="75" spans="1:11" ht="28.5" customHeight="1" x14ac:dyDescent="0.25">
      <c r="A75" s="75"/>
      <c r="B75" s="73"/>
      <c r="C75" s="73"/>
      <c r="D75" s="73"/>
      <c r="E75" s="77"/>
      <c r="F75" s="73"/>
      <c r="G75" s="73"/>
      <c r="H75" s="73"/>
      <c r="I75" s="73"/>
      <c r="J75" s="73"/>
      <c r="K75" s="27" t="s">
        <v>32</v>
      </c>
    </row>
    <row r="76" spans="1:11" ht="48.75" customHeight="1" x14ac:dyDescent="0.25">
      <c r="A76" s="74">
        <v>109</v>
      </c>
      <c r="B76" s="72" t="s">
        <v>233</v>
      </c>
      <c r="C76" s="72" t="s">
        <v>128</v>
      </c>
      <c r="D76" s="72"/>
      <c r="E76" s="76">
        <v>8995</v>
      </c>
      <c r="F76" s="72">
        <v>4</v>
      </c>
      <c r="G76" s="72" t="s">
        <v>234</v>
      </c>
      <c r="H76" s="72" t="s">
        <v>235</v>
      </c>
      <c r="I76" s="72" t="s">
        <v>236</v>
      </c>
      <c r="J76" s="72" t="s">
        <v>237</v>
      </c>
      <c r="K76" s="25" t="str">
        <f>"00053932"</f>
        <v>00053932</v>
      </c>
    </row>
    <row r="77" spans="1:11" ht="48.75" customHeight="1" x14ac:dyDescent="0.25">
      <c r="A77" s="75"/>
      <c r="B77" s="73"/>
      <c r="C77" s="73"/>
      <c r="D77" s="73"/>
      <c r="E77" s="77"/>
      <c r="F77" s="73"/>
      <c r="G77" s="73"/>
      <c r="H77" s="73"/>
      <c r="I77" s="73"/>
      <c r="J77" s="73"/>
      <c r="K77" s="27" t="s">
        <v>32</v>
      </c>
    </row>
    <row r="78" spans="1:11" ht="28.5" customHeight="1" x14ac:dyDescent="0.25">
      <c r="A78" s="74">
        <v>109</v>
      </c>
      <c r="B78" s="72" t="s">
        <v>238</v>
      </c>
      <c r="C78" s="72" t="s">
        <v>128</v>
      </c>
      <c r="D78" s="72"/>
      <c r="E78" s="76">
        <v>3069</v>
      </c>
      <c r="F78" s="72">
        <v>4</v>
      </c>
      <c r="G78" s="72" t="s">
        <v>239</v>
      </c>
      <c r="H78" s="72" t="s">
        <v>240</v>
      </c>
      <c r="I78" s="72" t="s">
        <v>142</v>
      </c>
      <c r="J78" s="72" t="s">
        <v>226</v>
      </c>
      <c r="K78" s="25" t="str">
        <f>"00053968"</f>
        <v>00053968</v>
      </c>
    </row>
    <row r="79" spans="1:11" ht="28.5" customHeight="1" x14ac:dyDescent="0.25">
      <c r="A79" s="75"/>
      <c r="B79" s="73"/>
      <c r="C79" s="73"/>
      <c r="D79" s="73"/>
      <c r="E79" s="77"/>
      <c r="F79" s="73"/>
      <c r="G79" s="73"/>
      <c r="H79" s="73"/>
      <c r="I79" s="73"/>
      <c r="J79" s="73"/>
      <c r="K79" s="27" t="s">
        <v>32</v>
      </c>
    </row>
    <row r="80" spans="1:11" ht="28.5" customHeight="1" x14ac:dyDescent="0.25">
      <c r="A80" s="74">
        <v>109</v>
      </c>
      <c r="B80" s="72" t="s">
        <v>241</v>
      </c>
      <c r="C80" s="72" t="s">
        <v>128</v>
      </c>
      <c r="D80" s="72"/>
      <c r="E80" s="76">
        <v>30481</v>
      </c>
      <c r="F80" s="72">
        <v>4</v>
      </c>
      <c r="G80" s="72" t="s">
        <v>228</v>
      </c>
      <c r="H80" s="72" t="s">
        <v>232</v>
      </c>
      <c r="I80" s="72" t="s">
        <v>142</v>
      </c>
      <c r="J80" s="72" t="s">
        <v>226</v>
      </c>
      <c r="K80" s="25" t="str">
        <f>"00053883"</f>
        <v>00053883</v>
      </c>
    </row>
    <row r="81" spans="1:11" ht="28.5" customHeight="1" x14ac:dyDescent="0.25">
      <c r="A81" s="75"/>
      <c r="B81" s="73"/>
      <c r="C81" s="73"/>
      <c r="D81" s="73"/>
      <c r="E81" s="77"/>
      <c r="F81" s="73"/>
      <c r="G81" s="73"/>
      <c r="H81" s="73"/>
      <c r="I81" s="73"/>
      <c r="J81" s="73"/>
      <c r="K81" s="27" t="s">
        <v>32</v>
      </c>
    </row>
    <row r="82" spans="1:11" ht="28.5" customHeight="1" x14ac:dyDescent="0.25">
      <c r="A82" s="74">
        <v>109</v>
      </c>
      <c r="B82" s="72" t="s">
        <v>242</v>
      </c>
      <c r="C82" s="72" t="s">
        <v>128</v>
      </c>
      <c r="D82" s="72"/>
      <c r="E82" s="76">
        <v>21631</v>
      </c>
      <c r="F82" s="72">
        <v>4</v>
      </c>
      <c r="G82" s="72" t="s">
        <v>243</v>
      </c>
      <c r="H82" s="72" t="s">
        <v>244</v>
      </c>
      <c r="I82" s="72" t="s">
        <v>142</v>
      </c>
      <c r="J82" s="72" t="s">
        <v>153</v>
      </c>
      <c r="K82" s="25" t="str">
        <f>"00053788"</f>
        <v>00053788</v>
      </c>
    </row>
    <row r="83" spans="1:11" ht="28.5" customHeight="1" x14ac:dyDescent="0.25">
      <c r="A83" s="75"/>
      <c r="B83" s="73"/>
      <c r="C83" s="73"/>
      <c r="D83" s="73"/>
      <c r="E83" s="77"/>
      <c r="F83" s="73"/>
      <c r="G83" s="73"/>
      <c r="H83" s="73"/>
      <c r="I83" s="73"/>
      <c r="J83" s="73"/>
      <c r="K83" s="27" t="s">
        <v>32</v>
      </c>
    </row>
    <row r="84" spans="1:11" ht="28.5" customHeight="1" x14ac:dyDescent="0.25">
      <c r="A84" s="74">
        <v>109</v>
      </c>
      <c r="B84" s="72" t="s">
        <v>238</v>
      </c>
      <c r="C84" s="72" t="s">
        <v>128</v>
      </c>
      <c r="D84" s="72"/>
      <c r="E84" s="76">
        <v>54764</v>
      </c>
      <c r="F84" s="72">
        <v>4</v>
      </c>
      <c r="G84" s="72" t="s">
        <v>245</v>
      </c>
      <c r="H84" s="72" t="s">
        <v>232</v>
      </c>
      <c r="I84" s="72" t="s">
        <v>142</v>
      </c>
      <c r="J84" s="72" t="s">
        <v>226</v>
      </c>
      <c r="K84" s="25" t="str">
        <f>"00053668"</f>
        <v>00053668</v>
      </c>
    </row>
    <row r="85" spans="1:11" ht="24.75" customHeight="1" x14ac:dyDescent="0.25">
      <c r="A85" s="75"/>
      <c r="B85" s="73"/>
      <c r="C85" s="73"/>
      <c r="D85" s="73"/>
      <c r="E85" s="77"/>
      <c r="F85" s="73"/>
      <c r="G85" s="73"/>
      <c r="H85" s="73"/>
      <c r="I85" s="73"/>
      <c r="J85" s="73"/>
      <c r="K85" s="27" t="s">
        <v>32</v>
      </c>
    </row>
    <row r="86" spans="1:11" ht="35.25" customHeight="1" x14ac:dyDescent="0.25">
      <c r="A86" s="74">
        <v>109</v>
      </c>
      <c r="B86" s="72" t="s">
        <v>246</v>
      </c>
      <c r="C86" s="72" t="s">
        <v>128</v>
      </c>
      <c r="D86" s="72"/>
      <c r="E86" s="76">
        <v>16019</v>
      </c>
      <c r="F86" s="72">
        <v>4</v>
      </c>
      <c r="G86" s="72" t="s">
        <v>247</v>
      </c>
      <c r="H86" s="72" t="s">
        <v>248</v>
      </c>
      <c r="I86" s="72" t="s">
        <v>134</v>
      </c>
      <c r="J86" s="72" t="s">
        <v>249</v>
      </c>
      <c r="K86" s="25" t="str">
        <f>"00054467"</f>
        <v>00054467</v>
      </c>
    </row>
    <row r="87" spans="1:11" ht="35.25" customHeight="1" x14ac:dyDescent="0.25">
      <c r="A87" s="75"/>
      <c r="B87" s="73"/>
      <c r="C87" s="73"/>
      <c r="D87" s="73"/>
      <c r="E87" s="77"/>
      <c r="F87" s="73"/>
      <c r="G87" s="73"/>
      <c r="H87" s="73"/>
      <c r="I87" s="73"/>
      <c r="J87" s="73"/>
      <c r="K87" s="27" t="s">
        <v>32</v>
      </c>
    </row>
    <row r="88" spans="1:11" ht="43.5" customHeight="1" x14ac:dyDescent="0.25">
      <c r="A88" s="74">
        <v>109</v>
      </c>
      <c r="B88" s="72" t="s">
        <v>250</v>
      </c>
      <c r="C88" s="72" t="s">
        <v>128</v>
      </c>
      <c r="D88" s="72"/>
      <c r="E88" s="76">
        <v>16921</v>
      </c>
      <c r="F88" s="72">
        <v>4</v>
      </c>
      <c r="G88" s="72" t="s">
        <v>251</v>
      </c>
      <c r="H88" s="72" t="s">
        <v>252</v>
      </c>
      <c r="I88" s="72" t="s">
        <v>175</v>
      </c>
      <c r="J88" s="72" t="s">
        <v>176</v>
      </c>
      <c r="K88" s="25" t="str">
        <f>"00053693"</f>
        <v>00053693</v>
      </c>
    </row>
    <row r="89" spans="1:11" ht="43.5" customHeight="1" x14ac:dyDescent="0.25">
      <c r="A89" s="75"/>
      <c r="B89" s="73"/>
      <c r="C89" s="73"/>
      <c r="D89" s="73"/>
      <c r="E89" s="77"/>
      <c r="F89" s="73"/>
      <c r="G89" s="73"/>
      <c r="H89" s="73"/>
      <c r="I89" s="73"/>
      <c r="J89" s="73"/>
      <c r="K89" s="27" t="s">
        <v>32</v>
      </c>
    </row>
    <row r="90" spans="1:11" ht="32.25" customHeight="1" x14ac:dyDescent="0.25">
      <c r="A90" s="74">
        <v>109</v>
      </c>
      <c r="B90" s="72" t="s">
        <v>253</v>
      </c>
      <c r="C90" s="72" t="s">
        <v>128</v>
      </c>
      <c r="D90" s="72"/>
      <c r="E90" s="76">
        <v>19389</v>
      </c>
      <c r="F90" s="72">
        <v>4</v>
      </c>
      <c r="G90" s="72" t="s">
        <v>254</v>
      </c>
      <c r="H90" s="72" t="s">
        <v>252</v>
      </c>
      <c r="I90" s="72" t="s">
        <v>175</v>
      </c>
      <c r="J90" s="72" t="s">
        <v>176</v>
      </c>
      <c r="K90" s="25" t="str">
        <f>"00053714"</f>
        <v>00053714</v>
      </c>
    </row>
    <row r="91" spans="1:11" ht="32.25" customHeight="1" x14ac:dyDescent="0.25">
      <c r="A91" s="75"/>
      <c r="B91" s="73"/>
      <c r="C91" s="73"/>
      <c r="D91" s="73"/>
      <c r="E91" s="77"/>
      <c r="F91" s="73"/>
      <c r="G91" s="73"/>
      <c r="H91" s="73"/>
      <c r="I91" s="73"/>
      <c r="J91" s="73"/>
      <c r="K91" s="34" t="s">
        <v>32</v>
      </c>
    </row>
    <row r="92" spans="1:11" ht="38.25" customHeight="1" x14ac:dyDescent="0.25">
      <c r="A92" s="74">
        <v>109</v>
      </c>
      <c r="B92" s="72" t="s">
        <v>255</v>
      </c>
      <c r="C92" s="72" t="s">
        <v>128</v>
      </c>
      <c r="D92" s="72"/>
      <c r="E92" s="76">
        <v>35591</v>
      </c>
      <c r="F92" s="72">
        <v>4</v>
      </c>
      <c r="G92" s="72" t="s">
        <v>256</v>
      </c>
      <c r="H92" s="72" t="s">
        <v>257</v>
      </c>
      <c r="I92" s="72" t="s">
        <v>166</v>
      </c>
      <c r="J92" s="72" t="s">
        <v>258</v>
      </c>
      <c r="K92" s="27" t="str">
        <f>"00052160"</f>
        <v>00052160</v>
      </c>
    </row>
    <row r="93" spans="1:11" ht="41.25" customHeight="1" x14ac:dyDescent="0.25">
      <c r="A93" s="75"/>
      <c r="B93" s="73"/>
      <c r="C93" s="73"/>
      <c r="D93" s="73"/>
      <c r="E93" s="77"/>
      <c r="F93" s="73"/>
      <c r="G93" s="73"/>
      <c r="H93" s="73"/>
      <c r="I93" s="73"/>
      <c r="J93" s="73"/>
      <c r="K93" s="27" t="s">
        <v>32</v>
      </c>
    </row>
    <row r="94" spans="1:11" ht="60" customHeight="1" x14ac:dyDescent="0.25">
      <c r="A94" s="22">
        <v>109</v>
      </c>
      <c r="B94" s="23" t="s">
        <v>259</v>
      </c>
      <c r="C94" s="23" t="s">
        <v>128</v>
      </c>
      <c r="D94" s="23"/>
      <c r="E94" s="24">
        <v>32240</v>
      </c>
      <c r="F94" s="23">
        <v>4</v>
      </c>
      <c r="G94" s="23" t="s">
        <v>260</v>
      </c>
      <c r="H94" s="23" t="s">
        <v>261</v>
      </c>
      <c r="I94" s="23" t="s">
        <v>262</v>
      </c>
      <c r="J94" s="23" t="s">
        <v>263</v>
      </c>
      <c r="K94" s="25" t="str">
        <f>"00053680"</f>
        <v>00053680</v>
      </c>
    </row>
    <row r="95" spans="1:11" ht="14.25" customHeight="1" x14ac:dyDescent="0.25">
      <c r="A95" s="74">
        <v>109</v>
      </c>
      <c r="B95" s="72" t="s">
        <v>264</v>
      </c>
      <c r="C95" s="72" t="s">
        <v>128</v>
      </c>
      <c r="D95" s="72"/>
      <c r="E95" s="76">
        <v>56208</v>
      </c>
      <c r="F95" s="72">
        <v>4</v>
      </c>
      <c r="G95" s="72" t="s">
        <v>265</v>
      </c>
      <c r="H95" s="72" t="s">
        <v>266</v>
      </c>
      <c r="I95" s="72" t="s">
        <v>262</v>
      </c>
      <c r="J95" s="72" t="s">
        <v>267</v>
      </c>
      <c r="K95" s="25" t="str">
        <f>"00053484"</f>
        <v>00053484</v>
      </c>
    </row>
    <row r="96" spans="1:11" ht="36.75" customHeight="1" x14ac:dyDescent="0.25">
      <c r="A96" s="75"/>
      <c r="B96" s="73"/>
      <c r="C96" s="73"/>
      <c r="D96" s="73"/>
      <c r="E96" s="77"/>
      <c r="F96" s="73"/>
      <c r="G96" s="73"/>
      <c r="H96" s="73"/>
      <c r="I96" s="73"/>
      <c r="J96" s="73"/>
      <c r="K96" s="27" t="s">
        <v>32</v>
      </c>
    </row>
    <row r="97" spans="1:11" ht="14.25" customHeight="1" x14ac:dyDescent="0.25">
      <c r="A97" s="74">
        <v>109</v>
      </c>
      <c r="B97" s="72" t="s">
        <v>268</v>
      </c>
      <c r="C97" s="72" t="s">
        <v>128</v>
      </c>
      <c r="D97" s="72"/>
      <c r="E97" s="76">
        <v>71067</v>
      </c>
      <c r="F97" s="72">
        <v>4</v>
      </c>
      <c r="G97" s="72" t="s">
        <v>269</v>
      </c>
      <c r="H97" s="72" t="s">
        <v>270</v>
      </c>
      <c r="I97" s="72" t="s">
        <v>142</v>
      </c>
      <c r="J97" s="72" t="s">
        <v>271</v>
      </c>
      <c r="K97" s="25" t="str">
        <f>"00052753"</f>
        <v>00052753</v>
      </c>
    </row>
    <row r="98" spans="1:11" ht="51" customHeight="1" x14ac:dyDescent="0.25">
      <c r="A98" s="75"/>
      <c r="B98" s="73"/>
      <c r="C98" s="73"/>
      <c r="D98" s="73"/>
      <c r="E98" s="77"/>
      <c r="F98" s="73"/>
      <c r="G98" s="73"/>
      <c r="H98" s="73"/>
      <c r="I98" s="73"/>
      <c r="J98" s="73"/>
      <c r="K98" s="34" t="s">
        <v>272</v>
      </c>
    </row>
    <row r="99" spans="1:11" ht="72" customHeight="1" x14ac:dyDescent="0.25">
      <c r="A99" s="22">
        <v>109</v>
      </c>
      <c r="B99" s="23" t="s">
        <v>273</v>
      </c>
      <c r="C99" s="23" t="s">
        <v>128</v>
      </c>
      <c r="D99" s="23"/>
      <c r="E99" s="24">
        <v>100000</v>
      </c>
      <c r="F99" s="23">
        <v>4</v>
      </c>
      <c r="G99" s="23" t="s">
        <v>274</v>
      </c>
      <c r="H99" s="23" t="s">
        <v>275</v>
      </c>
      <c r="I99" s="23" t="s">
        <v>142</v>
      </c>
      <c r="J99" s="23" t="s">
        <v>271</v>
      </c>
      <c r="K99" s="27" t="str">
        <f>"00052602"</f>
        <v>00052602</v>
      </c>
    </row>
    <row r="100" spans="1:11" ht="89.25" customHeight="1" x14ac:dyDescent="0.25">
      <c r="A100" s="22">
        <v>109</v>
      </c>
      <c r="B100" s="23" t="s">
        <v>276</v>
      </c>
      <c r="C100" s="23" t="s">
        <v>128</v>
      </c>
      <c r="D100" s="23"/>
      <c r="E100" s="24">
        <v>72299</v>
      </c>
      <c r="F100" s="23">
        <v>4</v>
      </c>
      <c r="G100" s="23" t="s">
        <v>277</v>
      </c>
      <c r="H100" s="23" t="s">
        <v>278</v>
      </c>
      <c r="I100" s="23" t="s">
        <v>279</v>
      </c>
      <c r="J100" s="23" t="s">
        <v>280</v>
      </c>
      <c r="K100" s="25" t="str">
        <f>"00053059"</f>
        <v>00053059</v>
      </c>
    </row>
    <row r="101" spans="1:11" ht="93" customHeight="1" x14ac:dyDescent="0.25">
      <c r="A101" s="22">
        <v>109</v>
      </c>
      <c r="B101" s="23" t="s">
        <v>276</v>
      </c>
      <c r="C101" s="23" t="s">
        <v>128</v>
      </c>
      <c r="D101" s="23"/>
      <c r="E101" s="24">
        <v>185274</v>
      </c>
      <c r="F101" s="23">
        <v>4</v>
      </c>
      <c r="G101" s="23" t="s">
        <v>281</v>
      </c>
      <c r="H101" s="23" t="s">
        <v>282</v>
      </c>
      <c r="I101" s="23" t="s">
        <v>283</v>
      </c>
      <c r="J101" s="23" t="s">
        <v>284</v>
      </c>
      <c r="K101" s="25" t="str">
        <f>"00052393"</f>
        <v>00052393</v>
      </c>
    </row>
    <row r="102" spans="1:11" ht="42.75" customHeight="1" x14ac:dyDescent="0.25">
      <c r="A102" s="22">
        <v>109</v>
      </c>
      <c r="B102" s="23" t="s">
        <v>285</v>
      </c>
      <c r="C102" s="23" t="s">
        <v>128</v>
      </c>
      <c r="D102" s="23"/>
      <c r="E102" s="24">
        <v>106332</v>
      </c>
      <c r="F102" s="23">
        <v>4</v>
      </c>
      <c r="G102" s="23" t="s">
        <v>286</v>
      </c>
      <c r="H102" s="23" t="s">
        <v>287</v>
      </c>
      <c r="I102" s="23" t="s">
        <v>142</v>
      </c>
      <c r="J102" s="23" t="s">
        <v>271</v>
      </c>
      <c r="K102" s="25" t="str">
        <f>"00052616"</f>
        <v>00052616</v>
      </c>
    </row>
    <row r="103" spans="1:11" ht="42.75" customHeight="1" x14ac:dyDescent="0.25">
      <c r="A103" s="22">
        <v>109</v>
      </c>
      <c r="B103" s="23" t="s">
        <v>288</v>
      </c>
      <c r="C103" s="23" t="s">
        <v>128</v>
      </c>
      <c r="D103" s="23"/>
      <c r="E103" s="24">
        <v>60214</v>
      </c>
      <c r="F103" s="23">
        <v>4</v>
      </c>
      <c r="G103" s="23" t="s">
        <v>289</v>
      </c>
      <c r="H103" s="23" t="s">
        <v>290</v>
      </c>
      <c r="I103" s="23" t="s">
        <v>142</v>
      </c>
      <c r="J103" s="23" t="s">
        <v>271</v>
      </c>
      <c r="K103" s="25" t="str">
        <f>"00052300"</f>
        <v>00052300</v>
      </c>
    </row>
    <row r="104" spans="1:11" ht="42.75" customHeight="1" x14ac:dyDescent="0.25">
      <c r="A104" s="22">
        <v>109</v>
      </c>
      <c r="B104" s="23" t="s">
        <v>288</v>
      </c>
      <c r="C104" s="23" t="s">
        <v>128</v>
      </c>
      <c r="D104" s="23"/>
      <c r="E104" s="24">
        <v>95423</v>
      </c>
      <c r="F104" s="23">
        <v>4</v>
      </c>
      <c r="G104" s="23" t="s">
        <v>291</v>
      </c>
      <c r="H104" s="23" t="s">
        <v>292</v>
      </c>
      <c r="I104" s="23" t="s">
        <v>142</v>
      </c>
      <c r="J104" s="23" t="s">
        <v>271</v>
      </c>
      <c r="K104" s="25" t="str">
        <f>"00052301"</f>
        <v>00052301</v>
      </c>
    </row>
    <row r="105" spans="1:11" ht="47.25" customHeight="1" x14ac:dyDescent="0.25">
      <c r="A105" s="22">
        <v>109</v>
      </c>
      <c r="B105" s="23" t="s">
        <v>293</v>
      </c>
      <c r="C105" s="23" t="s">
        <v>128</v>
      </c>
      <c r="D105" s="23"/>
      <c r="E105" s="24">
        <v>50000</v>
      </c>
      <c r="F105" s="23">
        <v>4</v>
      </c>
      <c r="G105" s="23" t="s">
        <v>294</v>
      </c>
      <c r="H105" s="23" t="s">
        <v>295</v>
      </c>
      <c r="I105" s="23" t="s">
        <v>142</v>
      </c>
      <c r="J105" s="23" t="s">
        <v>271</v>
      </c>
      <c r="K105" s="25" t="str">
        <f>"00052876"</f>
        <v>00052876</v>
      </c>
    </row>
    <row r="106" spans="1:11" ht="47.25" customHeight="1" x14ac:dyDescent="0.25">
      <c r="A106" s="22">
        <v>109</v>
      </c>
      <c r="B106" s="23" t="s">
        <v>296</v>
      </c>
      <c r="C106" s="23" t="s">
        <v>128</v>
      </c>
      <c r="D106" s="23"/>
      <c r="E106" s="24">
        <v>97825</v>
      </c>
      <c r="F106" s="23">
        <v>4</v>
      </c>
      <c r="G106" s="23" t="s">
        <v>297</v>
      </c>
      <c r="H106" s="23" t="s">
        <v>287</v>
      </c>
      <c r="I106" s="23" t="s">
        <v>142</v>
      </c>
      <c r="J106" s="23" t="s">
        <v>271</v>
      </c>
      <c r="K106" s="25" t="str">
        <f>"00053096"</f>
        <v>00053096</v>
      </c>
    </row>
    <row r="107" spans="1:11" ht="47.25" customHeight="1" x14ac:dyDescent="0.25">
      <c r="A107" s="22">
        <v>109</v>
      </c>
      <c r="B107" s="23" t="s">
        <v>298</v>
      </c>
      <c r="C107" s="23" t="s">
        <v>128</v>
      </c>
      <c r="D107" s="23"/>
      <c r="E107" s="24">
        <v>88107</v>
      </c>
      <c r="F107" s="23">
        <v>4</v>
      </c>
      <c r="G107" s="23" t="s">
        <v>299</v>
      </c>
      <c r="H107" s="23" t="s">
        <v>300</v>
      </c>
      <c r="I107" s="23" t="s">
        <v>142</v>
      </c>
      <c r="J107" s="23" t="s">
        <v>271</v>
      </c>
      <c r="K107" s="25" t="str">
        <f>"00052623"</f>
        <v>00052623</v>
      </c>
    </row>
    <row r="108" spans="1:11" ht="24.95" customHeight="1" x14ac:dyDescent="0.25">
      <c r="A108" s="74">
        <v>109</v>
      </c>
      <c r="B108" s="72" t="s">
        <v>301</v>
      </c>
      <c r="C108" s="72" t="s">
        <v>128</v>
      </c>
      <c r="D108" s="72"/>
      <c r="E108" s="76">
        <v>1206</v>
      </c>
      <c r="F108" s="72">
        <v>4</v>
      </c>
      <c r="G108" s="72" t="s">
        <v>302</v>
      </c>
      <c r="H108" s="72" t="s">
        <v>303</v>
      </c>
      <c r="I108" s="72" t="s">
        <v>304</v>
      </c>
      <c r="J108" s="72" t="s">
        <v>305</v>
      </c>
      <c r="K108" s="25" t="str">
        <f>"00054167"</f>
        <v>00054167</v>
      </c>
    </row>
    <row r="109" spans="1:11" ht="48" customHeight="1" x14ac:dyDescent="0.25">
      <c r="A109" s="75"/>
      <c r="B109" s="73"/>
      <c r="C109" s="73"/>
      <c r="D109" s="73"/>
      <c r="E109" s="77"/>
      <c r="F109" s="73"/>
      <c r="G109" s="73"/>
      <c r="H109" s="73"/>
      <c r="I109" s="73"/>
      <c r="J109" s="73"/>
      <c r="K109" s="28" t="s">
        <v>306</v>
      </c>
    </row>
    <row r="110" spans="1:11" ht="24.75" customHeight="1" x14ac:dyDescent="0.25">
      <c r="A110" s="74">
        <v>109</v>
      </c>
      <c r="B110" s="72" t="s">
        <v>307</v>
      </c>
      <c r="C110" s="72" t="s">
        <v>128</v>
      </c>
      <c r="D110" s="72"/>
      <c r="E110" s="76">
        <v>4200</v>
      </c>
      <c r="F110" s="72">
        <v>4</v>
      </c>
      <c r="G110" s="72" t="s">
        <v>308</v>
      </c>
      <c r="H110" s="72" t="s">
        <v>309</v>
      </c>
      <c r="I110" s="72" t="s">
        <v>166</v>
      </c>
      <c r="J110" s="72" t="s">
        <v>310</v>
      </c>
      <c r="K110" s="25" t="str">
        <f>"00053805"</f>
        <v>00053805</v>
      </c>
    </row>
    <row r="111" spans="1:11" ht="48" customHeight="1" x14ac:dyDescent="0.25">
      <c r="A111" s="75"/>
      <c r="B111" s="73"/>
      <c r="C111" s="73"/>
      <c r="D111" s="73"/>
      <c r="E111" s="77"/>
      <c r="F111" s="73"/>
      <c r="G111" s="73"/>
      <c r="H111" s="73"/>
      <c r="I111" s="73"/>
      <c r="J111" s="73"/>
      <c r="K111" s="28" t="s">
        <v>311</v>
      </c>
    </row>
    <row r="112" spans="1:11" ht="23.25" customHeight="1" x14ac:dyDescent="0.25">
      <c r="A112" s="74">
        <v>109</v>
      </c>
      <c r="B112" s="72" t="s">
        <v>307</v>
      </c>
      <c r="C112" s="72" t="s">
        <v>128</v>
      </c>
      <c r="D112" s="72"/>
      <c r="E112" s="76">
        <v>4200</v>
      </c>
      <c r="F112" s="72">
        <v>4</v>
      </c>
      <c r="G112" s="72" t="s">
        <v>308</v>
      </c>
      <c r="H112" s="72" t="s">
        <v>309</v>
      </c>
      <c r="I112" s="72" t="s">
        <v>166</v>
      </c>
      <c r="J112" s="72" t="s">
        <v>310</v>
      </c>
      <c r="K112" s="25" t="str">
        <f>"00053804"</f>
        <v>00053804</v>
      </c>
    </row>
    <row r="113" spans="1:11" ht="48" customHeight="1" x14ac:dyDescent="0.25">
      <c r="A113" s="75"/>
      <c r="B113" s="73"/>
      <c r="C113" s="73"/>
      <c r="D113" s="73"/>
      <c r="E113" s="77"/>
      <c r="F113" s="73"/>
      <c r="G113" s="73"/>
      <c r="H113" s="73"/>
      <c r="I113" s="73"/>
      <c r="J113" s="73"/>
      <c r="K113" s="28" t="s">
        <v>311</v>
      </c>
    </row>
    <row r="114" spans="1:11" ht="26.25" customHeight="1" x14ac:dyDescent="0.25">
      <c r="A114" s="74">
        <v>109</v>
      </c>
      <c r="B114" s="72" t="s">
        <v>312</v>
      </c>
      <c r="C114" s="72" t="s">
        <v>128</v>
      </c>
      <c r="D114" s="72"/>
      <c r="E114" s="76">
        <v>7200</v>
      </c>
      <c r="F114" s="72">
        <v>4</v>
      </c>
      <c r="G114" s="72" t="s">
        <v>313</v>
      </c>
      <c r="H114" s="72" t="s">
        <v>314</v>
      </c>
      <c r="I114" s="72" t="s">
        <v>142</v>
      </c>
      <c r="J114" s="72" t="s">
        <v>315</v>
      </c>
      <c r="K114" s="25" t="str">
        <f>"00054528"</f>
        <v>00054528</v>
      </c>
    </row>
    <row r="115" spans="1:11" ht="34.5" customHeight="1" x14ac:dyDescent="0.25">
      <c r="A115" s="79"/>
      <c r="B115" s="78"/>
      <c r="C115" s="78"/>
      <c r="D115" s="78"/>
      <c r="E115" s="80"/>
      <c r="F115" s="78"/>
      <c r="G115" s="78"/>
      <c r="H115" s="78"/>
      <c r="I115" s="78"/>
      <c r="J115" s="78"/>
      <c r="K115" s="27" t="s">
        <v>316</v>
      </c>
    </row>
    <row r="116" spans="1:11" ht="34.5" customHeight="1" x14ac:dyDescent="0.25">
      <c r="A116" s="75"/>
      <c r="B116" s="73"/>
      <c r="C116" s="73"/>
      <c r="D116" s="73"/>
      <c r="E116" s="77"/>
      <c r="F116" s="73"/>
      <c r="G116" s="73"/>
      <c r="H116" s="73"/>
      <c r="I116" s="73"/>
      <c r="J116" s="73"/>
      <c r="K116" s="27" t="s">
        <v>317</v>
      </c>
    </row>
    <row r="117" spans="1:11" ht="34.5" customHeight="1" x14ac:dyDescent="0.25">
      <c r="A117" s="74">
        <v>109</v>
      </c>
      <c r="B117" s="72" t="s">
        <v>312</v>
      </c>
      <c r="C117" s="72" t="s">
        <v>128</v>
      </c>
      <c r="D117" s="72"/>
      <c r="E117" s="76">
        <v>4014</v>
      </c>
      <c r="F117" s="72">
        <v>4</v>
      </c>
      <c r="G117" s="72" t="s">
        <v>318</v>
      </c>
      <c r="H117" s="72" t="s">
        <v>319</v>
      </c>
      <c r="I117" s="72" t="s">
        <v>166</v>
      </c>
      <c r="J117" s="72" t="s">
        <v>320</v>
      </c>
      <c r="K117" s="25" t="str">
        <f>"00054522"</f>
        <v>00054522</v>
      </c>
    </row>
    <row r="118" spans="1:11" ht="34.5" customHeight="1" x14ac:dyDescent="0.25">
      <c r="A118" s="79"/>
      <c r="B118" s="78"/>
      <c r="C118" s="78"/>
      <c r="D118" s="78"/>
      <c r="E118" s="80"/>
      <c r="F118" s="78"/>
      <c r="G118" s="78"/>
      <c r="H118" s="78"/>
      <c r="I118" s="78"/>
      <c r="J118" s="78"/>
      <c r="K118" s="27" t="s">
        <v>321</v>
      </c>
    </row>
    <row r="119" spans="1:11" ht="48" customHeight="1" x14ac:dyDescent="0.25">
      <c r="A119" s="75"/>
      <c r="B119" s="73"/>
      <c r="C119" s="73"/>
      <c r="D119" s="73"/>
      <c r="E119" s="77"/>
      <c r="F119" s="73"/>
      <c r="G119" s="73"/>
      <c r="H119" s="73"/>
      <c r="I119" s="73"/>
      <c r="J119" s="73"/>
      <c r="K119" s="27" t="s">
        <v>317</v>
      </c>
    </row>
    <row r="120" spans="1:11" ht="26.25" customHeight="1" x14ac:dyDescent="0.25">
      <c r="A120" s="74">
        <v>109</v>
      </c>
      <c r="B120" s="72" t="s">
        <v>312</v>
      </c>
      <c r="C120" s="72" t="s">
        <v>128</v>
      </c>
      <c r="D120" s="72"/>
      <c r="E120" s="76">
        <v>2897</v>
      </c>
      <c r="F120" s="72">
        <v>4</v>
      </c>
      <c r="G120" s="72" t="s">
        <v>313</v>
      </c>
      <c r="H120" s="72" t="s">
        <v>314</v>
      </c>
      <c r="I120" s="72" t="s">
        <v>142</v>
      </c>
      <c r="J120" s="72" t="s">
        <v>315</v>
      </c>
      <c r="K120" s="25" t="str">
        <f>"00054526"</f>
        <v>00054526</v>
      </c>
    </row>
    <row r="121" spans="1:11" ht="34.5" customHeight="1" x14ac:dyDescent="0.25">
      <c r="A121" s="79"/>
      <c r="B121" s="78"/>
      <c r="C121" s="78"/>
      <c r="D121" s="78"/>
      <c r="E121" s="80"/>
      <c r="F121" s="78"/>
      <c r="G121" s="78"/>
      <c r="H121" s="78"/>
      <c r="I121" s="78"/>
      <c r="J121" s="78"/>
      <c r="K121" s="27" t="s">
        <v>322</v>
      </c>
    </row>
    <row r="122" spans="1:11" ht="34.5" customHeight="1" x14ac:dyDescent="0.25">
      <c r="A122" s="75"/>
      <c r="B122" s="73"/>
      <c r="C122" s="73"/>
      <c r="D122" s="73"/>
      <c r="E122" s="77"/>
      <c r="F122" s="73"/>
      <c r="G122" s="73"/>
      <c r="H122" s="73"/>
      <c r="I122" s="73"/>
      <c r="J122" s="73"/>
      <c r="K122" s="27" t="s">
        <v>317</v>
      </c>
    </row>
    <row r="123" spans="1:11" ht="34.5" customHeight="1" x14ac:dyDescent="0.25">
      <c r="A123" s="74">
        <v>109</v>
      </c>
      <c r="B123" s="72" t="s">
        <v>312</v>
      </c>
      <c r="C123" s="72" t="s">
        <v>128</v>
      </c>
      <c r="D123" s="72"/>
      <c r="E123" s="76">
        <v>3990</v>
      </c>
      <c r="F123" s="72">
        <v>4</v>
      </c>
      <c r="G123" s="72" t="s">
        <v>318</v>
      </c>
      <c r="H123" s="72" t="s">
        <v>319</v>
      </c>
      <c r="I123" s="72" t="s">
        <v>166</v>
      </c>
      <c r="J123" s="72" t="s">
        <v>320</v>
      </c>
      <c r="K123" s="25" t="str">
        <f>"00054523"</f>
        <v>00054523</v>
      </c>
    </row>
    <row r="124" spans="1:11" ht="34.5" customHeight="1" x14ac:dyDescent="0.25">
      <c r="A124" s="79"/>
      <c r="B124" s="78"/>
      <c r="C124" s="78"/>
      <c r="D124" s="78"/>
      <c r="E124" s="80"/>
      <c r="F124" s="78"/>
      <c r="G124" s="78"/>
      <c r="H124" s="78"/>
      <c r="I124" s="78"/>
      <c r="J124" s="78"/>
      <c r="K124" s="27" t="s">
        <v>321</v>
      </c>
    </row>
    <row r="125" spans="1:11" ht="45" customHeight="1" x14ac:dyDescent="0.25">
      <c r="A125" s="75"/>
      <c r="B125" s="73"/>
      <c r="C125" s="73"/>
      <c r="D125" s="73"/>
      <c r="E125" s="77"/>
      <c r="F125" s="73"/>
      <c r="G125" s="73"/>
      <c r="H125" s="73"/>
      <c r="I125" s="73"/>
      <c r="J125" s="73"/>
      <c r="K125" s="34" t="s">
        <v>317</v>
      </c>
    </row>
    <row r="126" spans="1:11" ht="34.5" customHeight="1" x14ac:dyDescent="0.25">
      <c r="A126" s="74">
        <v>109</v>
      </c>
      <c r="B126" s="72" t="s">
        <v>312</v>
      </c>
      <c r="C126" s="72" t="s">
        <v>128</v>
      </c>
      <c r="D126" s="72"/>
      <c r="E126" s="76">
        <v>7214</v>
      </c>
      <c r="F126" s="72">
        <v>4</v>
      </c>
      <c r="G126" s="72" t="s">
        <v>313</v>
      </c>
      <c r="H126" s="72" t="s">
        <v>314</v>
      </c>
      <c r="I126" s="72" t="s">
        <v>142</v>
      </c>
      <c r="J126" s="72" t="s">
        <v>315</v>
      </c>
      <c r="K126" s="27" t="str">
        <f>"00054529"</f>
        <v>00054529</v>
      </c>
    </row>
    <row r="127" spans="1:11" ht="34.5" customHeight="1" x14ac:dyDescent="0.25">
      <c r="A127" s="79"/>
      <c r="B127" s="78"/>
      <c r="C127" s="78"/>
      <c r="D127" s="78"/>
      <c r="E127" s="80"/>
      <c r="F127" s="78"/>
      <c r="G127" s="78"/>
      <c r="H127" s="78"/>
      <c r="I127" s="78"/>
      <c r="J127" s="78"/>
      <c r="K127" s="27" t="s">
        <v>322</v>
      </c>
    </row>
    <row r="128" spans="1:11" ht="34.5" customHeight="1" x14ac:dyDescent="0.25">
      <c r="A128" s="75"/>
      <c r="B128" s="73"/>
      <c r="C128" s="73"/>
      <c r="D128" s="73"/>
      <c r="E128" s="77"/>
      <c r="F128" s="73"/>
      <c r="G128" s="73"/>
      <c r="H128" s="73"/>
      <c r="I128" s="73"/>
      <c r="J128" s="73"/>
      <c r="K128" s="27" t="s">
        <v>317</v>
      </c>
    </row>
    <row r="129" spans="1:11" ht="70.5" customHeight="1" x14ac:dyDescent="0.25">
      <c r="A129" s="22">
        <v>109</v>
      </c>
      <c r="B129" s="23" t="s">
        <v>323</v>
      </c>
      <c r="C129" s="23" t="s">
        <v>128</v>
      </c>
      <c r="D129" s="23"/>
      <c r="E129" s="24">
        <v>100000</v>
      </c>
      <c r="F129" s="23">
        <v>4</v>
      </c>
      <c r="G129" s="23" t="s">
        <v>324</v>
      </c>
      <c r="H129" s="23" t="s">
        <v>290</v>
      </c>
      <c r="I129" s="23" t="s">
        <v>142</v>
      </c>
      <c r="J129" s="23" t="s">
        <v>271</v>
      </c>
      <c r="K129" s="25" t="str">
        <f>"00052402"</f>
        <v>00052402</v>
      </c>
    </row>
    <row r="130" spans="1:11" ht="47.25" customHeight="1" x14ac:dyDescent="0.25">
      <c r="A130" s="22">
        <v>109</v>
      </c>
      <c r="B130" s="23" t="s">
        <v>325</v>
      </c>
      <c r="C130" s="23" t="s">
        <v>128</v>
      </c>
      <c r="D130" s="23"/>
      <c r="E130" s="24">
        <v>50000</v>
      </c>
      <c r="F130" s="23">
        <v>4</v>
      </c>
      <c r="G130" s="23" t="s">
        <v>294</v>
      </c>
      <c r="H130" s="23" t="s">
        <v>287</v>
      </c>
      <c r="I130" s="23" t="s">
        <v>142</v>
      </c>
      <c r="J130" s="23" t="s">
        <v>271</v>
      </c>
      <c r="K130" s="25" t="str">
        <f>"00052706"</f>
        <v>00052706</v>
      </c>
    </row>
    <row r="131" spans="1:11" ht="57" customHeight="1" x14ac:dyDescent="0.25">
      <c r="A131" s="30">
        <v>109</v>
      </c>
      <c r="B131" s="31" t="s">
        <v>326</v>
      </c>
      <c r="C131" s="31" t="s">
        <v>128</v>
      </c>
      <c r="D131" s="31"/>
      <c r="E131" s="32">
        <v>20000</v>
      </c>
      <c r="F131" s="31">
        <v>4</v>
      </c>
      <c r="G131" s="31" t="s">
        <v>327</v>
      </c>
      <c r="H131" s="31" t="s">
        <v>328</v>
      </c>
      <c r="I131" s="31" t="s">
        <v>142</v>
      </c>
      <c r="J131" s="31" t="s">
        <v>271</v>
      </c>
      <c r="K131" s="33" t="str">
        <f>"00052193"</f>
        <v>00052193</v>
      </c>
    </row>
    <row r="132" spans="1:11" ht="58.5" customHeight="1" x14ac:dyDescent="0.25">
      <c r="A132" s="35">
        <v>109</v>
      </c>
      <c r="B132" s="36" t="s">
        <v>293</v>
      </c>
      <c r="C132" s="36" t="s">
        <v>128</v>
      </c>
      <c r="D132" s="36"/>
      <c r="E132" s="37">
        <v>12394</v>
      </c>
      <c r="F132" s="36">
        <v>4</v>
      </c>
      <c r="G132" s="36" t="s">
        <v>294</v>
      </c>
      <c r="H132" s="36" t="s">
        <v>287</v>
      </c>
      <c r="I132" s="36" t="s">
        <v>142</v>
      </c>
      <c r="J132" s="36" t="s">
        <v>271</v>
      </c>
      <c r="K132" s="34" t="str">
        <f>"00052644"</f>
        <v>00052644</v>
      </c>
    </row>
    <row r="133" spans="1:11" ht="58.5" customHeight="1" x14ac:dyDescent="0.25">
      <c r="A133" s="38">
        <v>109</v>
      </c>
      <c r="B133" s="39" t="s">
        <v>329</v>
      </c>
      <c r="C133" s="39" t="s">
        <v>128</v>
      </c>
      <c r="D133" s="39"/>
      <c r="E133" s="40">
        <v>20610</v>
      </c>
      <c r="F133" s="39">
        <v>4</v>
      </c>
      <c r="G133" s="39" t="s">
        <v>289</v>
      </c>
      <c r="H133" s="39" t="s">
        <v>330</v>
      </c>
      <c r="I133" s="39" t="s">
        <v>142</v>
      </c>
      <c r="J133" s="39" t="s">
        <v>271</v>
      </c>
      <c r="K133" s="27" t="str">
        <f>"00052298"</f>
        <v>00052298</v>
      </c>
    </row>
    <row r="134" spans="1:11" ht="61.5" customHeight="1" x14ac:dyDescent="0.25">
      <c r="A134" s="22">
        <v>109</v>
      </c>
      <c r="B134" s="23" t="s">
        <v>331</v>
      </c>
      <c r="C134" s="23" t="s">
        <v>128</v>
      </c>
      <c r="D134" s="23"/>
      <c r="E134" s="24">
        <v>31069</v>
      </c>
      <c r="F134" s="23">
        <v>4</v>
      </c>
      <c r="G134" s="23" t="s">
        <v>332</v>
      </c>
      <c r="H134" s="23" t="s">
        <v>333</v>
      </c>
      <c r="I134" s="23" t="s">
        <v>334</v>
      </c>
      <c r="J134" s="23" t="s">
        <v>335</v>
      </c>
      <c r="K134" s="25" t="str">
        <f>"00053044"</f>
        <v>00053044</v>
      </c>
    </row>
    <row r="135" spans="1:11" ht="94.5" customHeight="1" x14ac:dyDescent="0.25">
      <c r="A135" s="22">
        <v>109</v>
      </c>
      <c r="B135" s="23" t="s">
        <v>276</v>
      </c>
      <c r="C135" s="23" t="s">
        <v>128</v>
      </c>
      <c r="D135" s="23"/>
      <c r="E135" s="24">
        <v>41618</v>
      </c>
      <c r="F135" s="23">
        <v>4</v>
      </c>
      <c r="G135" s="23" t="s">
        <v>336</v>
      </c>
      <c r="H135" s="23" t="s">
        <v>287</v>
      </c>
      <c r="I135" s="23" t="s">
        <v>142</v>
      </c>
      <c r="J135" s="23" t="s">
        <v>271</v>
      </c>
      <c r="K135" s="25" t="str">
        <f>"00052723"</f>
        <v>00052723</v>
      </c>
    </row>
    <row r="136" spans="1:11" ht="104.25" customHeight="1" x14ac:dyDescent="0.25">
      <c r="A136" s="22">
        <v>109</v>
      </c>
      <c r="B136" s="23" t="s">
        <v>337</v>
      </c>
      <c r="C136" s="23" t="s">
        <v>128</v>
      </c>
      <c r="D136" s="23"/>
      <c r="E136" s="24">
        <v>56871</v>
      </c>
      <c r="F136" s="23">
        <v>4</v>
      </c>
      <c r="G136" s="23" t="s">
        <v>338</v>
      </c>
      <c r="H136" s="23" t="s">
        <v>339</v>
      </c>
      <c r="I136" s="23" t="s">
        <v>340</v>
      </c>
      <c r="J136" s="23" t="s">
        <v>341</v>
      </c>
      <c r="K136" s="25" t="str">
        <f>"00052948"</f>
        <v>00052948</v>
      </c>
    </row>
    <row r="137" spans="1:11" ht="72" customHeight="1" x14ac:dyDescent="0.25">
      <c r="A137" s="22">
        <v>109</v>
      </c>
      <c r="B137" s="23" t="s">
        <v>342</v>
      </c>
      <c r="C137" s="23" t="s">
        <v>128</v>
      </c>
      <c r="D137" s="23"/>
      <c r="E137" s="24">
        <v>100000</v>
      </c>
      <c r="F137" s="23">
        <v>4</v>
      </c>
      <c r="G137" s="23" t="s">
        <v>294</v>
      </c>
      <c r="H137" s="23" t="s">
        <v>330</v>
      </c>
      <c r="I137" s="23" t="s">
        <v>142</v>
      </c>
      <c r="J137" s="23" t="s">
        <v>271</v>
      </c>
      <c r="K137" s="25" t="str">
        <f>"00052854"</f>
        <v>00052854</v>
      </c>
    </row>
    <row r="138" spans="1:11" ht="43.5" customHeight="1" x14ac:dyDescent="0.25">
      <c r="A138" s="22">
        <v>109</v>
      </c>
      <c r="B138" s="23" t="s">
        <v>343</v>
      </c>
      <c r="C138" s="23" t="s">
        <v>128</v>
      </c>
      <c r="D138" s="23"/>
      <c r="E138" s="24">
        <v>81166</v>
      </c>
      <c r="F138" s="23">
        <v>4</v>
      </c>
      <c r="G138" s="23" t="s">
        <v>344</v>
      </c>
      <c r="H138" s="23" t="s">
        <v>345</v>
      </c>
      <c r="I138" s="23" t="s">
        <v>142</v>
      </c>
      <c r="J138" s="23" t="s">
        <v>271</v>
      </c>
      <c r="K138" s="25" t="str">
        <f>"00052657"</f>
        <v>00052657</v>
      </c>
    </row>
    <row r="139" spans="1:11" ht="51" customHeight="1" x14ac:dyDescent="0.25">
      <c r="A139" s="22">
        <v>109</v>
      </c>
      <c r="B139" s="23" t="s">
        <v>346</v>
      </c>
      <c r="C139" s="23" t="s">
        <v>128</v>
      </c>
      <c r="D139" s="23"/>
      <c r="E139" s="24">
        <v>60000</v>
      </c>
      <c r="F139" s="23">
        <v>4</v>
      </c>
      <c r="G139" s="23" t="s">
        <v>347</v>
      </c>
      <c r="H139" s="23" t="s">
        <v>348</v>
      </c>
      <c r="I139" s="23" t="s">
        <v>349</v>
      </c>
      <c r="J139" s="23" t="s">
        <v>350</v>
      </c>
      <c r="K139" s="25" t="str">
        <f>"00052144"</f>
        <v>00052144</v>
      </c>
    </row>
    <row r="140" spans="1:11" ht="53.25" customHeight="1" x14ac:dyDescent="0.25">
      <c r="A140" s="22">
        <v>109</v>
      </c>
      <c r="B140" s="23" t="s">
        <v>351</v>
      </c>
      <c r="C140" s="23" t="s">
        <v>128</v>
      </c>
      <c r="D140" s="23"/>
      <c r="E140" s="24">
        <v>90000</v>
      </c>
      <c r="F140" s="23">
        <v>4</v>
      </c>
      <c r="G140" s="23" t="s">
        <v>352</v>
      </c>
      <c r="H140" s="23" t="s">
        <v>353</v>
      </c>
      <c r="I140" s="23" t="s">
        <v>354</v>
      </c>
      <c r="J140" s="23" t="s">
        <v>355</v>
      </c>
      <c r="K140" s="25" t="str">
        <f>"00048417"</f>
        <v>00048417</v>
      </c>
    </row>
    <row r="141" spans="1:11" ht="90.75" customHeight="1" x14ac:dyDescent="0.25">
      <c r="A141" s="22">
        <v>109</v>
      </c>
      <c r="B141" s="23" t="s">
        <v>298</v>
      </c>
      <c r="C141" s="23" t="s">
        <v>128</v>
      </c>
      <c r="D141" s="23"/>
      <c r="E141" s="24">
        <v>46407</v>
      </c>
      <c r="F141" s="23">
        <v>4</v>
      </c>
      <c r="G141" s="23" t="s">
        <v>356</v>
      </c>
      <c r="H141" s="23" t="s">
        <v>290</v>
      </c>
      <c r="I141" s="23" t="s">
        <v>142</v>
      </c>
      <c r="J141" s="23" t="s">
        <v>271</v>
      </c>
      <c r="K141" s="25" t="str">
        <f>"00052533"</f>
        <v>00052533</v>
      </c>
    </row>
    <row r="142" spans="1:11" ht="90.75" customHeight="1" x14ac:dyDescent="0.25">
      <c r="A142" s="22">
        <v>109</v>
      </c>
      <c r="B142" s="23" t="s">
        <v>293</v>
      </c>
      <c r="C142" s="23" t="s">
        <v>128</v>
      </c>
      <c r="D142" s="23"/>
      <c r="E142" s="24">
        <v>25000</v>
      </c>
      <c r="F142" s="23">
        <v>4</v>
      </c>
      <c r="G142" s="23" t="s">
        <v>294</v>
      </c>
      <c r="H142" s="23" t="s">
        <v>357</v>
      </c>
      <c r="I142" s="23" t="s">
        <v>142</v>
      </c>
      <c r="J142" s="23" t="s">
        <v>271</v>
      </c>
      <c r="K142" s="25" t="str">
        <f>"00052877"</f>
        <v>00052877</v>
      </c>
    </row>
    <row r="143" spans="1:11" ht="52.5" customHeight="1" x14ac:dyDescent="0.25">
      <c r="A143" s="30">
        <v>109</v>
      </c>
      <c r="B143" s="31" t="s">
        <v>343</v>
      </c>
      <c r="C143" s="31" t="s">
        <v>128</v>
      </c>
      <c r="D143" s="31"/>
      <c r="E143" s="32">
        <v>105398</v>
      </c>
      <c r="F143" s="31">
        <v>4</v>
      </c>
      <c r="G143" s="31" t="s">
        <v>344</v>
      </c>
      <c r="H143" s="31" t="s">
        <v>358</v>
      </c>
      <c r="I143" s="31" t="s">
        <v>142</v>
      </c>
      <c r="J143" s="31" t="s">
        <v>271</v>
      </c>
      <c r="K143" s="33" t="str">
        <f>"00052646"</f>
        <v>00052646</v>
      </c>
    </row>
    <row r="144" spans="1:11" ht="52.5" customHeight="1" x14ac:dyDescent="0.25">
      <c r="A144" s="35">
        <v>109</v>
      </c>
      <c r="B144" s="36" t="s">
        <v>288</v>
      </c>
      <c r="C144" s="36" t="s">
        <v>128</v>
      </c>
      <c r="D144" s="36"/>
      <c r="E144" s="37">
        <v>32225</v>
      </c>
      <c r="F144" s="36">
        <v>4</v>
      </c>
      <c r="G144" s="36" t="s">
        <v>359</v>
      </c>
      <c r="H144" s="36" t="s">
        <v>360</v>
      </c>
      <c r="I144" s="36" t="s">
        <v>142</v>
      </c>
      <c r="J144" s="36" t="s">
        <v>361</v>
      </c>
      <c r="K144" s="34" t="str">
        <f>"00052268"</f>
        <v>00052268</v>
      </c>
    </row>
    <row r="145" spans="1:11" ht="69.75" customHeight="1" x14ac:dyDescent="0.25">
      <c r="A145" s="38">
        <v>109</v>
      </c>
      <c r="B145" s="39" t="s">
        <v>362</v>
      </c>
      <c r="C145" s="39" t="s">
        <v>128</v>
      </c>
      <c r="D145" s="39"/>
      <c r="E145" s="40">
        <v>17516</v>
      </c>
      <c r="F145" s="39">
        <v>4</v>
      </c>
      <c r="G145" s="39" t="s">
        <v>363</v>
      </c>
      <c r="H145" s="39" t="s">
        <v>364</v>
      </c>
      <c r="I145" s="39" t="s">
        <v>166</v>
      </c>
      <c r="J145" s="39" t="s">
        <v>365</v>
      </c>
      <c r="K145" s="27" t="str">
        <f>"00052292"</f>
        <v>00052292</v>
      </c>
    </row>
    <row r="146" spans="1:11" ht="84.75" customHeight="1" x14ac:dyDescent="0.25">
      <c r="A146" s="22">
        <v>109</v>
      </c>
      <c r="B146" s="23" t="s">
        <v>273</v>
      </c>
      <c r="C146" s="23" t="s">
        <v>128</v>
      </c>
      <c r="D146" s="23"/>
      <c r="E146" s="24">
        <v>190000</v>
      </c>
      <c r="F146" s="23">
        <v>4</v>
      </c>
      <c r="G146" s="23" t="s">
        <v>366</v>
      </c>
      <c r="H146" s="23" t="s">
        <v>367</v>
      </c>
      <c r="I146" s="23" t="s">
        <v>142</v>
      </c>
      <c r="J146" s="23" t="s">
        <v>368</v>
      </c>
      <c r="K146" s="25" t="str">
        <f>"00050774"</f>
        <v>00050774</v>
      </c>
    </row>
    <row r="147" spans="1:11" ht="70.5" customHeight="1" x14ac:dyDescent="0.25">
      <c r="A147" s="22">
        <v>109</v>
      </c>
      <c r="B147" s="23" t="s">
        <v>273</v>
      </c>
      <c r="C147" s="23" t="s">
        <v>128</v>
      </c>
      <c r="D147" s="23"/>
      <c r="E147" s="24">
        <v>15000</v>
      </c>
      <c r="F147" s="23">
        <v>4</v>
      </c>
      <c r="G147" s="23" t="s">
        <v>274</v>
      </c>
      <c r="H147" s="23" t="s">
        <v>369</v>
      </c>
      <c r="I147" s="23" t="s">
        <v>142</v>
      </c>
      <c r="J147" s="23" t="s">
        <v>271</v>
      </c>
      <c r="K147" s="25" t="str">
        <f>"00053020"</f>
        <v>00053020</v>
      </c>
    </row>
    <row r="148" spans="1:11" ht="57.75" customHeight="1" x14ac:dyDescent="0.25">
      <c r="A148" s="22">
        <v>109</v>
      </c>
      <c r="B148" s="23" t="s">
        <v>370</v>
      </c>
      <c r="C148" s="23" t="s">
        <v>128</v>
      </c>
      <c r="D148" s="23"/>
      <c r="E148" s="24">
        <v>29484</v>
      </c>
      <c r="F148" s="23">
        <v>4</v>
      </c>
      <c r="G148" s="23" t="s">
        <v>294</v>
      </c>
      <c r="H148" s="23" t="s">
        <v>371</v>
      </c>
      <c r="I148" s="23" t="s">
        <v>142</v>
      </c>
      <c r="J148" s="23" t="s">
        <v>271</v>
      </c>
      <c r="K148" s="25" t="str">
        <f>"00052487"</f>
        <v>00052487</v>
      </c>
    </row>
    <row r="149" spans="1:11" ht="36.75" customHeight="1" x14ac:dyDescent="0.25">
      <c r="A149" s="74">
        <v>109</v>
      </c>
      <c r="B149" s="72" t="s">
        <v>372</v>
      </c>
      <c r="C149" s="72" t="s">
        <v>128</v>
      </c>
      <c r="D149" s="72"/>
      <c r="E149" s="76">
        <v>5719</v>
      </c>
      <c r="F149" s="72">
        <v>4</v>
      </c>
      <c r="G149" s="72" t="s">
        <v>373</v>
      </c>
      <c r="H149" s="72" t="s">
        <v>374</v>
      </c>
      <c r="I149" s="72" t="s">
        <v>349</v>
      </c>
      <c r="J149" s="72" t="s">
        <v>375</v>
      </c>
      <c r="K149" s="25" t="str">
        <f>"00054451"</f>
        <v>00054451</v>
      </c>
    </row>
    <row r="150" spans="1:11" ht="31.5" customHeight="1" x14ac:dyDescent="0.25">
      <c r="A150" s="75"/>
      <c r="B150" s="73"/>
      <c r="C150" s="73"/>
      <c r="D150" s="73"/>
      <c r="E150" s="77"/>
      <c r="F150" s="73"/>
      <c r="G150" s="73"/>
      <c r="H150" s="73"/>
      <c r="I150" s="73"/>
      <c r="J150" s="73"/>
      <c r="K150" s="28" t="s">
        <v>376</v>
      </c>
    </row>
    <row r="151" spans="1:11" ht="36.75" customHeight="1" x14ac:dyDescent="0.25">
      <c r="A151" s="74">
        <v>109</v>
      </c>
      <c r="B151" s="72" t="s">
        <v>377</v>
      </c>
      <c r="C151" s="72" t="s">
        <v>128</v>
      </c>
      <c r="D151" s="72"/>
      <c r="E151" s="76">
        <v>7417</v>
      </c>
      <c r="F151" s="72">
        <v>4</v>
      </c>
      <c r="G151" s="72" t="s">
        <v>378</v>
      </c>
      <c r="H151" s="72" t="s">
        <v>379</v>
      </c>
      <c r="I151" s="72" t="s">
        <v>380</v>
      </c>
      <c r="J151" s="72" t="s">
        <v>381</v>
      </c>
      <c r="K151" s="25" t="str">
        <f>"00054471"</f>
        <v>00054471</v>
      </c>
    </row>
    <row r="152" spans="1:11" ht="36.75" customHeight="1" x14ac:dyDescent="0.25">
      <c r="A152" s="75"/>
      <c r="B152" s="73"/>
      <c r="C152" s="73"/>
      <c r="D152" s="73"/>
      <c r="E152" s="77"/>
      <c r="F152" s="73"/>
      <c r="G152" s="73"/>
      <c r="H152" s="73"/>
      <c r="I152" s="73"/>
      <c r="J152" s="73"/>
      <c r="K152" s="27" t="s">
        <v>32</v>
      </c>
    </row>
    <row r="153" spans="1:11" ht="32.25" customHeight="1" x14ac:dyDescent="0.25">
      <c r="A153" s="74">
        <v>109</v>
      </c>
      <c r="B153" s="72" t="s">
        <v>377</v>
      </c>
      <c r="C153" s="72" t="s">
        <v>128</v>
      </c>
      <c r="D153" s="72"/>
      <c r="E153" s="76">
        <v>7394</v>
      </c>
      <c r="F153" s="72">
        <v>4</v>
      </c>
      <c r="G153" s="72" t="s">
        <v>382</v>
      </c>
      <c r="H153" s="72" t="s">
        <v>379</v>
      </c>
      <c r="I153" s="72" t="s">
        <v>380</v>
      </c>
      <c r="J153" s="72" t="s">
        <v>381</v>
      </c>
      <c r="K153" s="25" t="str">
        <f>"00054472"</f>
        <v>00054472</v>
      </c>
    </row>
    <row r="154" spans="1:11" ht="34.5" customHeight="1" x14ac:dyDescent="0.25">
      <c r="A154" s="75"/>
      <c r="B154" s="73"/>
      <c r="C154" s="73"/>
      <c r="D154" s="73"/>
      <c r="E154" s="77"/>
      <c r="F154" s="73"/>
      <c r="G154" s="73"/>
      <c r="H154" s="73"/>
      <c r="I154" s="73"/>
      <c r="J154" s="73"/>
      <c r="K154" s="28" t="s">
        <v>376</v>
      </c>
    </row>
    <row r="155" spans="1:11" ht="42.75" customHeight="1" x14ac:dyDescent="0.25">
      <c r="A155" s="74">
        <v>109</v>
      </c>
      <c r="B155" s="72" t="s">
        <v>383</v>
      </c>
      <c r="C155" s="72" t="s">
        <v>128</v>
      </c>
      <c r="D155" s="72"/>
      <c r="E155" s="76">
        <v>19021</v>
      </c>
      <c r="F155" s="72">
        <v>4</v>
      </c>
      <c r="G155" s="72" t="s">
        <v>384</v>
      </c>
      <c r="H155" s="72" t="s">
        <v>385</v>
      </c>
      <c r="I155" s="72" t="s">
        <v>386</v>
      </c>
      <c r="J155" s="72" t="s">
        <v>387</v>
      </c>
      <c r="K155" s="25" t="str">
        <f>"00054182"</f>
        <v>00054182</v>
      </c>
    </row>
    <row r="156" spans="1:11" ht="42.75" customHeight="1" x14ac:dyDescent="0.25">
      <c r="A156" s="75"/>
      <c r="B156" s="73"/>
      <c r="C156" s="73"/>
      <c r="D156" s="73"/>
      <c r="E156" s="77"/>
      <c r="F156" s="73"/>
      <c r="G156" s="73"/>
      <c r="H156" s="73"/>
      <c r="I156" s="73"/>
      <c r="J156" s="73"/>
      <c r="K156" s="28" t="s">
        <v>376</v>
      </c>
    </row>
    <row r="157" spans="1:11" ht="49.5" customHeight="1" x14ac:dyDescent="0.25">
      <c r="A157" s="22">
        <v>109</v>
      </c>
      <c r="B157" s="23" t="s">
        <v>388</v>
      </c>
      <c r="C157" s="23" t="s">
        <v>128</v>
      </c>
      <c r="D157" s="23"/>
      <c r="E157" s="24">
        <v>8985</v>
      </c>
      <c r="F157" s="23">
        <v>4</v>
      </c>
      <c r="G157" s="23" t="s">
        <v>389</v>
      </c>
      <c r="H157" s="23" t="s">
        <v>390</v>
      </c>
      <c r="I157" s="23" t="s">
        <v>142</v>
      </c>
      <c r="J157" s="23" t="s">
        <v>391</v>
      </c>
      <c r="K157" s="25" t="str">
        <f>"00054379"</f>
        <v>00054379</v>
      </c>
    </row>
    <row r="158" spans="1:11" ht="26.25" customHeight="1" x14ac:dyDescent="0.25">
      <c r="A158" s="74">
        <v>109</v>
      </c>
      <c r="B158" s="72" t="s">
        <v>392</v>
      </c>
      <c r="C158" s="72" t="s">
        <v>128</v>
      </c>
      <c r="D158" s="72"/>
      <c r="E158" s="76">
        <v>30000</v>
      </c>
      <c r="F158" s="72">
        <v>4</v>
      </c>
      <c r="G158" s="72" t="s">
        <v>393</v>
      </c>
      <c r="H158" s="72" t="s">
        <v>394</v>
      </c>
      <c r="I158" s="72" t="s">
        <v>166</v>
      </c>
      <c r="J158" s="72" t="s">
        <v>395</v>
      </c>
      <c r="K158" s="25" t="str">
        <f>"00054433"</f>
        <v>00054433</v>
      </c>
    </row>
    <row r="159" spans="1:11" ht="42.75" customHeight="1" x14ac:dyDescent="0.25">
      <c r="A159" s="75"/>
      <c r="B159" s="73"/>
      <c r="C159" s="73"/>
      <c r="D159" s="73"/>
      <c r="E159" s="77"/>
      <c r="F159" s="73"/>
      <c r="G159" s="73"/>
      <c r="H159" s="73"/>
      <c r="I159" s="73"/>
      <c r="J159" s="73"/>
      <c r="K159" s="28" t="s">
        <v>376</v>
      </c>
    </row>
    <row r="160" spans="1:11" ht="21.75" customHeight="1" x14ac:dyDescent="0.25">
      <c r="A160" s="74">
        <v>109</v>
      </c>
      <c r="B160" s="72" t="s">
        <v>396</v>
      </c>
      <c r="C160" s="72" t="s">
        <v>128</v>
      </c>
      <c r="D160" s="72"/>
      <c r="E160" s="76">
        <v>2499</v>
      </c>
      <c r="F160" s="72">
        <v>4</v>
      </c>
      <c r="G160" s="72" t="s">
        <v>397</v>
      </c>
      <c r="H160" s="72" t="s">
        <v>398</v>
      </c>
      <c r="I160" s="72" t="s">
        <v>399</v>
      </c>
      <c r="J160" s="72" t="s">
        <v>400</v>
      </c>
      <c r="K160" s="25" t="str">
        <f>"00054033"</f>
        <v>00054033</v>
      </c>
    </row>
    <row r="161" spans="1:11" ht="30.75" customHeight="1" x14ac:dyDescent="0.25">
      <c r="A161" s="75"/>
      <c r="B161" s="73"/>
      <c r="C161" s="73"/>
      <c r="D161" s="73"/>
      <c r="E161" s="77"/>
      <c r="F161" s="73"/>
      <c r="G161" s="73"/>
      <c r="H161" s="73"/>
      <c r="I161" s="73"/>
      <c r="J161" s="73"/>
      <c r="K161" s="28" t="s">
        <v>376</v>
      </c>
    </row>
    <row r="162" spans="1:11" ht="29.25" customHeight="1" x14ac:dyDescent="0.25">
      <c r="A162" s="74">
        <v>109</v>
      </c>
      <c r="B162" s="72" t="s">
        <v>401</v>
      </c>
      <c r="C162" s="72" t="s">
        <v>128</v>
      </c>
      <c r="D162" s="72"/>
      <c r="E162" s="76">
        <v>40127</v>
      </c>
      <c r="F162" s="72">
        <v>4</v>
      </c>
      <c r="G162" s="72" t="s">
        <v>402</v>
      </c>
      <c r="H162" s="72" t="s">
        <v>403</v>
      </c>
      <c r="I162" s="72" t="s">
        <v>404</v>
      </c>
      <c r="J162" s="72" t="s">
        <v>405</v>
      </c>
      <c r="K162" s="25" t="str">
        <f>"00054246"</f>
        <v>00054246</v>
      </c>
    </row>
    <row r="163" spans="1:11" ht="28.5" customHeight="1" x14ac:dyDescent="0.25">
      <c r="A163" s="75"/>
      <c r="B163" s="73"/>
      <c r="C163" s="73"/>
      <c r="D163" s="73"/>
      <c r="E163" s="77"/>
      <c r="F163" s="73"/>
      <c r="G163" s="73"/>
      <c r="H163" s="73"/>
      <c r="I163" s="73"/>
      <c r="J163" s="73"/>
      <c r="K163" s="34" t="s">
        <v>32</v>
      </c>
    </row>
    <row r="164" spans="1:11" ht="23.25" customHeight="1" x14ac:dyDescent="0.25">
      <c r="A164" s="74">
        <v>109</v>
      </c>
      <c r="B164" s="72" t="s">
        <v>401</v>
      </c>
      <c r="C164" s="72" t="s">
        <v>128</v>
      </c>
      <c r="D164" s="72"/>
      <c r="E164" s="76">
        <v>20955</v>
      </c>
      <c r="F164" s="72">
        <v>4</v>
      </c>
      <c r="G164" s="72" t="s">
        <v>406</v>
      </c>
      <c r="H164" s="72" t="s">
        <v>407</v>
      </c>
      <c r="I164" s="72" t="s">
        <v>197</v>
      </c>
      <c r="J164" s="72" t="s">
        <v>197</v>
      </c>
      <c r="K164" s="27" t="str">
        <f>"00054189"</f>
        <v>00054189</v>
      </c>
    </row>
    <row r="165" spans="1:11" ht="23.25" customHeight="1" x14ac:dyDescent="0.25">
      <c r="A165" s="75"/>
      <c r="B165" s="73"/>
      <c r="C165" s="73"/>
      <c r="D165" s="73"/>
      <c r="E165" s="77"/>
      <c r="F165" s="73"/>
      <c r="G165" s="73"/>
      <c r="H165" s="73"/>
      <c r="I165" s="73"/>
      <c r="J165" s="73"/>
      <c r="K165" s="34" t="s">
        <v>32</v>
      </c>
    </row>
    <row r="166" spans="1:11" ht="31.5" customHeight="1" x14ac:dyDescent="0.25">
      <c r="A166" s="74">
        <v>109</v>
      </c>
      <c r="B166" s="72" t="s">
        <v>377</v>
      </c>
      <c r="C166" s="72" t="s">
        <v>128</v>
      </c>
      <c r="D166" s="72"/>
      <c r="E166" s="76">
        <v>35886</v>
      </c>
      <c r="F166" s="72">
        <v>4</v>
      </c>
      <c r="G166" s="72" t="s">
        <v>408</v>
      </c>
      <c r="H166" s="72" t="s">
        <v>409</v>
      </c>
      <c r="I166" s="72" t="s">
        <v>386</v>
      </c>
      <c r="J166" s="72" t="s">
        <v>387</v>
      </c>
      <c r="K166" s="27" t="str">
        <f>"00054183"</f>
        <v>00054183</v>
      </c>
    </row>
    <row r="167" spans="1:11" ht="31.5" customHeight="1" x14ac:dyDescent="0.25">
      <c r="A167" s="75"/>
      <c r="B167" s="73"/>
      <c r="C167" s="73"/>
      <c r="D167" s="73"/>
      <c r="E167" s="77"/>
      <c r="F167" s="73"/>
      <c r="G167" s="73"/>
      <c r="H167" s="73"/>
      <c r="I167" s="73"/>
      <c r="J167" s="73"/>
      <c r="K167" s="27" t="s">
        <v>32</v>
      </c>
    </row>
    <row r="168" spans="1:11" ht="57" customHeight="1" x14ac:dyDescent="0.25">
      <c r="A168" s="22">
        <v>109</v>
      </c>
      <c r="B168" s="23" t="s">
        <v>410</v>
      </c>
      <c r="C168" s="23" t="s">
        <v>128</v>
      </c>
      <c r="D168" s="23"/>
      <c r="E168" s="24">
        <v>80000</v>
      </c>
      <c r="F168" s="23">
        <v>4</v>
      </c>
      <c r="G168" s="23" t="s">
        <v>411</v>
      </c>
      <c r="H168" s="23" t="s">
        <v>412</v>
      </c>
      <c r="I168" s="23" t="s">
        <v>142</v>
      </c>
      <c r="J168" s="23" t="s">
        <v>413</v>
      </c>
      <c r="K168" s="25" t="str">
        <f>"00053691"</f>
        <v>00053691</v>
      </c>
    </row>
    <row r="169" spans="1:11" ht="36.75" customHeight="1" x14ac:dyDescent="0.25">
      <c r="A169" s="74">
        <v>109</v>
      </c>
      <c r="B169" s="72" t="s">
        <v>414</v>
      </c>
      <c r="C169" s="72" t="s">
        <v>128</v>
      </c>
      <c r="D169" s="72"/>
      <c r="E169" s="76">
        <v>61825</v>
      </c>
      <c r="F169" s="72">
        <v>4</v>
      </c>
      <c r="G169" s="72" t="s">
        <v>415</v>
      </c>
      <c r="H169" s="72" t="s">
        <v>416</v>
      </c>
      <c r="I169" s="72" t="s">
        <v>142</v>
      </c>
      <c r="J169" s="72" t="s">
        <v>413</v>
      </c>
      <c r="K169" s="25" t="str">
        <f>"00053697"</f>
        <v>00053697</v>
      </c>
    </row>
    <row r="170" spans="1:11" ht="36.75" customHeight="1" x14ac:dyDescent="0.25">
      <c r="A170" s="75"/>
      <c r="B170" s="73"/>
      <c r="C170" s="73"/>
      <c r="D170" s="73"/>
      <c r="E170" s="77"/>
      <c r="F170" s="73"/>
      <c r="G170" s="73"/>
      <c r="H170" s="73"/>
      <c r="I170" s="73"/>
      <c r="J170" s="73"/>
      <c r="K170" s="27" t="s">
        <v>32</v>
      </c>
    </row>
    <row r="171" spans="1:11" ht="57.75" customHeight="1" x14ac:dyDescent="0.25">
      <c r="A171" s="74">
        <v>109</v>
      </c>
      <c r="B171" s="72" t="s">
        <v>417</v>
      </c>
      <c r="C171" s="72" t="s">
        <v>128</v>
      </c>
      <c r="D171" s="72"/>
      <c r="E171" s="76">
        <v>9804</v>
      </c>
      <c r="F171" s="72">
        <v>4</v>
      </c>
      <c r="G171" s="72" t="s">
        <v>418</v>
      </c>
      <c r="H171" s="72" t="s">
        <v>419</v>
      </c>
      <c r="I171" s="72" t="s">
        <v>386</v>
      </c>
      <c r="J171" s="72" t="s">
        <v>387</v>
      </c>
      <c r="K171" s="25" t="str">
        <f>"00054226"</f>
        <v>00054226</v>
      </c>
    </row>
    <row r="172" spans="1:11" ht="36" customHeight="1" x14ac:dyDescent="0.25">
      <c r="A172" s="75"/>
      <c r="B172" s="73"/>
      <c r="C172" s="73"/>
      <c r="D172" s="73"/>
      <c r="E172" s="77"/>
      <c r="F172" s="73"/>
      <c r="G172" s="73"/>
      <c r="H172" s="73"/>
      <c r="I172" s="73"/>
      <c r="J172" s="73"/>
      <c r="K172" s="28" t="s">
        <v>420</v>
      </c>
    </row>
    <row r="173" spans="1:11" ht="60" customHeight="1" x14ac:dyDescent="0.25">
      <c r="A173" s="22">
        <v>109</v>
      </c>
      <c r="B173" s="23" t="s">
        <v>421</v>
      </c>
      <c r="C173" s="23" t="s">
        <v>128</v>
      </c>
      <c r="D173" s="23"/>
      <c r="E173" s="24">
        <v>82884</v>
      </c>
      <c r="F173" s="23">
        <v>4</v>
      </c>
      <c r="G173" s="23" t="s">
        <v>422</v>
      </c>
      <c r="H173" s="23" t="s">
        <v>423</v>
      </c>
      <c r="I173" s="23" t="s">
        <v>424</v>
      </c>
      <c r="J173" s="23" t="s">
        <v>425</v>
      </c>
      <c r="K173" s="25" t="str">
        <f>"00053869"</f>
        <v>00053869</v>
      </c>
    </row>
    <row r="174" spans="1:11" ht="60" customHeight="1" x14ac:dyDescent="0.25">
      <c r="A174" s="22">
        <v>109</v>
      </c>
      <c r="B174" s="23" t="s">
        <v>426</v>
      </c>
      <c r="C174" s="23" t="s">
        <v>128</v>
      </c>
      <c r="D174" s="23"/>
      <c r="E174" s="24">
        <v>108186</v>
      </c>
      <c r="F174" s="23">
        <v>4</v>
      </c>
      <c r="G174" s="23" t="s">
        <v>427</v>
      </c>
      <c r="H174" s="23" t="s">
        <v>428</v>
      </c>
      <c r="I174" s="23" t="s">
        <v>142</v>
      </c>
      <c r="J174" s="23" t="s">
        <v>429</v>
      </c>
      <c r="K174" s="25" t="str">
        <f>"00053611"</f>
        <v>00053611</v>
      </c>
    </row>
    <row r="175" spans="1:11" ht="33.75" customHeight="1" x14ac:dyDescent="0.25">
      <c r="A175" s="74">
        <v>109</v>
      </c>
      <c r="B175" s="72" t="s">
        <v>430</v>
      </c>
      <c r="C175" s="72" t="s">
        <v>128</v>
      </c>
      <c r="D175" s="72"/>
      <c r="E175" s="76">
        <v>7400</v>
      </c>
      <c r="F175" s="72">
        <v>4</v>
      </c>
      <c r="G175" s="72" t="s">
        <v>431</v>
      </c>
      <c r="H175" s="72" t="s">
        <v>432</v>
      </c>
      <c r="I175" s="72" t="s">
        <v>236</v>
      </c>
      <c r="J175" s="72" t="s">
        <v>237</v>
      </c>
      <c r="K175" s="25" t="str">
        <f>"00054392"</f>
        <v>00054392</v>
      </c>
    </row>
    <row r="176" spans="1:11" ht="37.5" customHeight="1" x14ac:dyDescent="0.25">
      <c r="A176" s="75"/>
      <c r="B176" s="73"/>
      <c r="C176" s="73"/>
      <c r="D176" s="73"/>
      <c r="E176" s="77"/>
      <c r="F176" s="73"/>
      <c r="G176" s="73"/>
      <c r="H176" s="73"/>
      <c r="I176" s="73"/>
      <c r="J176" s="73"/>
      <c r="K176" s="28" t="s">
        <v>433</v>
      </c>
    </row>
    <row r="177" spans="1:11" ht="33.75" customHeight="1" x14ac:dyDescent="0.25">
      <c r="A177" s="74">
        <v>109</v>
      </c>
      <c r="B177" s="72" t="s">
        <v>430</v>
      </c>
      <c r="C177" s="72" t="s">
        <v>128</v>
      </c>
      <c r="D177" s="72"/>
      <c r="E177" s="76">
        <v>3956</v>
      </c>
      <c r="F177" s="72">
        <v>4</v>
      </c>
      <c r="G177" s="72" t="s">
        <v>434</v>
      </c>
      <c r="H177" s="72" t="s">
        <v>435</v>
      </c>
      <c r="I177" s="72" t="s">
        <v>166</v>
      </c>
      <c r="J177" s="72" t="s">
        <v>167</v>
      </c>
      <c r="K177" s="25" t="str">
        <f>"00054377"</f>
        <v>00054377</v>
      </c>
    </row>
    <row r="178" spans="1:11" ht="33.75" customHeight="1" x14ac:dyDescent="0.25">
      <c r="A178" s="75"/>
      <c r="B178" s="73"/>
      <c r="C178" s="73"/>
      <c r="D178" s="73"/>
      <c r="E178" s="77"/>
      <c r="F178" s="73"/>
      <c r="G178" s="73"/>
      <c r="H178" s="73"/>
      <c r="I178" s="73"/>
      <c r="J178" s="73"/>
      <c r="K178" s="28" t="s">
        <v>433</v>
      </c>
    </row>
    <row r="179" spans="1:11" ht="105" customHeight="1" x14ac:dyDescent="0.25">
      <c r="A179" s="22">
        <v>109</v>
      </c>
      <c r="B179" s="23" t="s">
        <v>436</v>
      </c>
      <c r="C179" s="23" t="s">
        <v>128</v>
      </c>
      <c r="D179" s="23"/>
      <c r="E179" s="24">
        <v>34049</v>
      </c>
      <c r="F179" s="23">
        <v>4</v>
      </c>
      <c r="G179" s="23" t="s">
        <v>437</v>
      </c>
      <c r="H179" s="23" t="s">
        <v>438</v>
      </c>
      <c r="I179" s="23" t="s">
        <v>439</v>
      </c>
      <c r="J179" s="23" t="s">
        <v>440</v>
      </c>
      <c r="K179" s="25" t="str">
        <f>"00054487"</f>
        <v>00054487</v>
      </c>
    </row>
    <row r="180" spans="1:11" ht="29.25" customHeight="1" x14ac:dyDescent="0.25">
      <c r="A180" s="74">
        <v>109</v>
      </c>
      <c r="B180" s="72" t="s">
        <v>441</v>
      </c>
      <c r="C180" s="72" t="s">
        <v>128</v>
      </c>
      <c r="D180" s="72"/>
      <c r="E180" s="76">
        <v>1300</v>
      </c>
      <c r="F180" s="72">
        <v>4</v>
      </c>
      <c r="G180" s="72" t="s">
        <v>442</v>
      </c>
      <c r="H180" s="72" t="s">
        <v>443</v>
      </c>
      <c r="I180" s="72" t="s">
        <v>142</v>
      </c>
      <c r="J180" s="72" t="s">
        <v>444</v>
      </c>
      <c r="K180" s="25" t="str">
        <f>"00053657"</f>
        <v>00053657</v>
      </c>
    </row>
    <row r="181" spans="1:11" ht="35.1" customHeight="1" x14ac:dyDescent="0.25">
      <c r="A181" s="75"/>
      <c r="B181" s="73"/>
      <c r="C181" s="73"/>
      <c r="D181" s="73"/>
      <c r="E181" s="77"/>
      <c r="F181" s="73"/>
      <c r="G181" s="73"/>
      <c r="H181" s="73"/>
      <c r="I181" s="73"/>
      <c r="J181" s="73"/>
      <c r="K181" s="28" t="s">
        <v>433</v>
      </c>
    </row>
    <row r="182" spans="1:11" ht="58.5" customHeight="1" x14ac:dyDescent="0.25">
      <c r="A182" s="30">
        <v>109</v>
      </c>
      <c r="B182" s="31" t="s">
        <v>445</v>
      </c>
      <c r="C182" s="31" t="s">
        <v>128</v>
      </c>
      <c r="D182" s="31"/>
      <c r="E182" s="32">
        <v>86978</v>
      </c>
      <c r="F182" s="31">
        <v>4</v>
      </c>
      <c r="G182" s="31" t="s">
        <v>446</v>
      </c>
      <c r="H182" s="31" t="s">
        <v>447</v>
      </c>
      <c r="I182" s="31" t="s">
        <v>142</v>
      </c>
      <c r="J182" s="31" t="s">
        <v>448</v>
      </c>
      <c r="K182" s="33" t="str">
        <f>"00051778"</f>
        <v>00051778</v>
      </c>
    </row>
    <row r="183" spans="1:11" ht="51.75" customHeight="1" x14ac:dyDescent="0.25">
      <c r="A183" s="41">
        <v>109</v>
      </c>
      <c r="B183" s="42" t="s">
        <v>449</v>
      </c>
      <c r="C183" s="42" t="s">
        <v>128</v>
      </c>
      <c r="D183" s="42"/>
      <c r="E183" s="43">
        <v>56766</v>
      </c>
      <c r="F183" s="42">
        <v>4</v>
      </c>
      <c r="G183" s="42" t="s">
        <v>450</v>
      </c>
      <c r="H183" s="42" t="s">
        <v>451</v>
      </c>
      <c r="I183" s="42" t="s">
        <v>142</v>
      </c>
      <c r="J183" s="42" t="s">
        <v>153</v>
      </c>
      <c r="K183" s="44" t="str">
        <f>"00053482"</f>
        <v>00053482</v>
      </c>
    </row>
    <row r="184" spans="1:11" ht="48" customHeight="1" x14ac:dyDescent="0.25">
      <c r="A184" s="79">
        <v>109</v>
      </c>
      <c r="B184" s="78" t="s">
        <v>452</v>
      </c>
      <c r="C184" s="78" t="s">
        <v>128</v>
      </c>
      <c r="D184" s="78"/>
      <c r="E184" s="80">
        <v>7000</v>
      </c>
      <c r="F184" s="78">
        <v>4</v>
      </c>
      <c r="G184" s="78" t="s">
        <v>453</v>
      </c>
      <c r="H184" s="78" t="s">
        <v>454</v>
      </c>
      <c r="I184" s="78" t="s">
        <v>142</v>
      </c>
      <c r="J184" s="78" t="s">
        <v>455</v>
      </c>
      <c r="K184" s="27" t="str">
        <f>"00053991"</f>
        <v>00053991</v>
      </c>
    </row>
    <row r="185" spans="1:11" ht="44.25" customHeight="1" x14ac:dyDescent="0.25">
      <c r="A185" s="75"/>
      <c r="B185" s="73"/>
      <c r="C185" s="73"/>
      <c r="D185" s="73"/>
      <c r="E185" s="77"/>
      <c r="F185" s="73"/>
      <c r="G185" s="73"/>
      <c r="H185" s="73"/>
      <c r="I185" s="73"/>
      <c r="J185" s="73"/>
      <c r="K185" s="28" t="s">
        <v>456</v>
      </c>
    </row>
    <row r="186" spans="1:11" ht="45.75" customHeight="1" x14ac:dyDescent="0.25">
      <c r="A186" s="22">
        <v>109</v>
      </c>
      <c r="B186" s="23" t="s">
        <v>457</v>
      </c>
      <c r="C186" s="23" t="s">
        <v>128</v>
      </c>
      <c r="D186" s="23"/>
      <c r="E186" s="24">
        <v>1342</v>
      </c>
      <c r="F186" s="23">
        <v>4</v>
      </c>
      <c r="G186" s="23" t="s">
        <v>458</v>
      </c>
      <c r="H186" s="23" t="s">
        <v>459</v>
      </c>
      <c r="I186" s="23" t="s">
        <v>439</v>
      </c>
      <c r="J186" s="23" t="s">
        <v>460</v>
      </c>
      <c r="K186" s="25" t="str">
        <f>"00054311"</f>
        <v>00054311</v>
      </c>
    </row>
    <row r="187" spans="1:11" ht="23.25" customHeight="1" x14ac:dyDescent="0.25">
      <c r="A187" s="74">
        <v>109</v>
      </c>
      <c r="B187" s="72" t="s">
        <v>461</v>
      </c>
      <c r="C187" s="72" t="s">
        <v>128</v>
      </c>
      <c r="D187" s="72"/>
      <c r="E187" s="76">
        <v>106048</v>
      </c>
      <c r="F187" s="72">
        <v>4</v>
      </c>
      <c r="G187" s="72" t="s">
        <v>462</v>
      </c>
      <c r="H187" s="72" t="s">
        <v>463</v>
      </c>
      <c r="I187" s="72" t="s">
        <v>142</v>
      </c>
      <c r="J187" s="72" t="s">
        <v>153</v>
      </c>
      <c r="K187" s="25" t="str">
        <f>"00053228"</f>
        <v>00053228</v>
      </c>
    </row>
    <row r="188" spans="1:11" ht="35.1" customHeight="1" x14ac:dyDescent="0.25">
      <c r="A188" s="75"/>
      <c r="B188" s="73"/>
      <c r="C188" s="73"/>
      <c r="D188" s="73"/>
      <c r="E188" s="77"/>
      <c r="F188" s="73"/>
      <c r="G188" s="73"/>
      <c r="H188" s="73"/>
      <c r="I188" s="73"/>
      <c r="J188" s="73"/>
      <c r="K188" s="28" t="s">
        <v>464</v>
      </c>
    </row>
    <row r="189" spans="1:11" ht="24" customHeight="1" x14ac:dyDescent="0.25">
      <c r="A189" s="74">
        <v>109</v>
      </c>
      <c r="B189" s="72" t="s">
        <v>465</v>
      </c>
      <c r="C189" s="72" t="s">
        <v>128</v>
      </c>
      <c r="D189" s="72"/>
      <c r="E189" s="76">
        <v>103933</v>
      </c>
      <c r="F189" s="72">
        <v>4</v>
      </c>
      <c r="G189" s="72" t="s">
        <v>466</v>
      </c>
      <c r="H189" s="72" t="s">
        <v>467</v>
      </c>
      <c r="I189" s="72" t="s">
        <v>142</v>
      </c>
      <c r="J189" s="72" t="s">
        <v>153</v>
      </c>
      <c r="K189" s="25" t="str">
        <f>"00052505"</f>
        <v>00052505</v>
      </c>
    </row>
    <row r="190" spans="1:11" ht="30" customHeight="1" x14ac:dyDescent="0.25">
      <c r="A190" s="75"/>
      <c r="B190" s="73"/>
      <c r="C190" s="73"/>
      <c r="D190" s="73"/>
      <c r="E190" s="77"/>
      <c r="F190" s="73"/>
      <c r="G190" s="73"/>
      <c r="H190" s="73"/>
      <c r="I190" s="73"/>
      <c r="J190" s="73"/>
      <c r="K190" s="28" t="s">
        <v>464</v>
      </c>
    </row>
    <row r="191" spans="1:11" ht="51" customHeight="1" x14ac:dyDescent="0.25">
      <c r="A191" s="22">
        <v>109</v>
      </c>
      <c r="B191" s="23" t="s">
        <v>468</v>
      </c>
      <c r="C191" s="23" t="s">
        <v>128</v>
      </c>
      <c r="D191" s="23"/>
      <c r="E191" s="24">
        <v>86711</v>
      </c>
      <c r="F191" s="23">
        <v>4</v>
      </c>
      <c r="G191" s="23" t="s">
        <v>469</v>
      </c>
      <c r="H191" s="23" t="s">
        <v>470</v>
      </c>
      <c r="I191" s="23" t="s">
        <v>142</v>
      </c>
      <c r="J191" s="23" t="s">
        <v>153</v>
      </c>
      <c r="K191" s="25" t="str">
        <f>"00053252"</f>
        <v>00053252</v>
      </c>
    </row>
    <row r="192" spans="1:11" ht="45.75" customHeight="1" x14ac:dyDescent="0.25">
      <c r="A192" s="74">
        <v>109</v>
      </c>
      <c r="B192" s="72" t="s">
        <v>471</v>
      </c>
      <c r="C192" s="72" t="s">
        <v>128</v>
      </c>
      <c r="D192" s="72"/>
      <c r="E192" s="76">
        <v>5923</v>
      </c>
      <c r="F192" s="72">
        <v>4</v>
      </c>
      <c r="G192" s="72" t="s">
        <v>472</v>
      </c>
      <c r="H192" s="72" t="s">
        <v>473</v>
      </c>
      <c r="I192" s="72" t="s">
        <v>474</v>
      </c>
      <c r="J192" s="72" t="s">
        <v>475</v>
      </c>
      <c r="K192" s="25" t="str">
        <f>"00054306"</f>
        <v>00054306</v>
      </c>
    </row>
    <row r="193" spans="1:11" ht="38.25" customHeight="1" x14ac:dyDescent="0.25">
      <c r="A193" s="75"/>
      <c r="B193" s="73"/>
      <c r="C193" s="73"/>
      <c r="D193" s="73"/>
      <c r="E193" s="77"/>
      <c r="F193" s="73"/>
      <c r="G193" s="73"/>
      <c r="H193" s="73"/>
      <c r="I193" s="73"/>
      <c r="J193" s="73"/>
      <c r="K193" s="27" t="s">
        <v>32</v>
      </c>
    </row>
    <row r="194" spans="1:11" ht="14.25" customHeight="1" x14ac:dyDescent="0.25">
      <c r="A194" s="74">
        <v>109</v>
      </c>
      <c r="B194" s="72" t="s">
        <v>476</v>
      </c>
      <c r="C194" s="72" t="s">
        <v>128</v>
      </c>
      <c r="D194" s="72"/>
      <c r="E194" s="76">
        <v>6000</v>
      </c>
      <c r="F194" s="72">
        <v>4</v>
      </c>
      <c r="G194" s="72" t="s">
        <v>477</v>
      </c>
      <c r="H194" s="72" t="s">
        <v>478</v>
      </c>
      <c r="I194" s="72" t="s">
        <v>142</v>
      </c>
      <c r="J194" s="72" t="s">
        <v>479</v>
      </c>
      <c r="K194" s="25" t="str">
        <f>"00053742"</f>
        <v>00053742</v>
      </c>
    </row>
    <row r="195" spans="1:11" ht="61.5" customHeight="1" x14ac:dyDescent="0.25">
      <c r="A195" s="75"/>
      <c r="B195" s="73"/>
      <c r="C195" s="73"/>
      <c r="D195" s="73"/>
      <c r="E195" s="77"/>
      <c r="F195" s="73"/>
      <c r="G195" s="73"/>
      <c r="H195" s="73"/>
      <c r="I195" s="73"/>
      <c r="J195" s="73"/>
      <c r="K195" s="28" t="s">
        <v>480</v>
      </c>
    </row>
    <row r="196" spans="1:11" ht="68.25" customHeight="1" x14ac:dyDescent="0.25">
      <c r="A196" s="22">
        <v>109</v>
      </c>
      <c r="B196" s="23" t="s">
        <v>481</v>
      </c>
      <c r="C196" s="23" t="s">
        <v>128</v>
      </c>
      <c r="D196" s="23"/>
      <c r="E196" s="24">
        <v>101975</v>
      </c>
      <c r="F196" s="23">
        <v>4</v>
      </c>
      <c r="G196" s="23" t="s">
        <v>482</v>
      </c>
      <c r="H196" s="23" t="s">
        <v>483</v>
      </c>
      <c r="I196" s="23" t="s">
        <v>142</v>
      </c>
      <c r="J196" s="23" t="s">
        <v>484</v>
      </c>
      <c r="K196" s="25" t="str">
        <f>"00053634"</f>
        <v>00053634</v>
      </c>
    </row>
    <row r="197" spans="1:11" ht="61.5" customHeight="1" x14ac:dyDescent="0.25">
      <c r="A197" s="22">
        <v>109</v>
      </c>
      <c r="B197" s="23" t="s">
        <v>485</v>
      </c>
      <c r="C197" s="23" t="s">
        <v>128</v>
      </c>
      <c r="D197" s="23"/>
      <c r="E197" s="24">
        <v>38635</v>
      </c>
      <c r="F197" s="23">
        <v>4</v>
      </c>
      <c r="G197" s="23" t="s">
        <v>486</v>
      </c>
      <c r="H197" s="23" t="s">
        <v>487</v>
      </c>
      <c r="I197" s="23" t="s">
        <v>488</v>
      </c>
      <c r="J197" s="23" t="s">
        <v>489</v>
      </c>
      <c r="K197" s="25" t="str">
        <f>"00054109"</f>
        <v>00054109</v>
      </c>
    </row>
    <row r="198" spans="1:11" ht="24" customHeight="1" x14ac:dyDescent="0.25">
      <c r="A198" s="74">
        <v>109</v>
      </c>
      <c r="B198" s="72" t="s">
        <v>490</v>
      </c>
      <c r="C198" s="72" t="s">
        <v>128</v>
      </c>
      <c r="D198" s="72"/>
      <c r="E198" s="76">
        <v>99316</v>
      </c>
      <c r="F198" s="72">
        <v>4</v>
      </c>
      <c r="G198" s="72" t="s">
        <v>491</v>
      </c>
      <c r="H198" s="72" t="s">
        <v>492</v>
      </c>
      <c r="I198" s="72" t="s">
        <v>262</v>
      </c>
      <c r="J198" s="72" t="s">
        <v>493</v>
      </c>
      <c r="K198" s="25" t="str">
        <f>"00053656"</f>
        <v>00053656</v>
      </c>
    </row>
    <row r="199" spans="1:11" ht="57" customHeight="1" x14ac:dyDescent="0.25">
      <c r="A199" s="75"/>
      <c r="B199" s="73"/>
      <c r="C199" s="73"/>
      <c r="D199" s="73"/>
      <c r="E199" s="77"/>
      <c r="F199" s="73"/>
      <c r="G199" s="73"/>
      <c r="H199" s="73"/>
      <c r="I199" s="73"/>
      <c r="J199" s="73"/>
      <c r="K199" s="28" t="s">
        <v>494</v>
      </c>
    </row>
    <row r="200" spans="1:11" ht="27.75" customHeight="1" x14ac:dyDescent="0.25">
      <c r="A200" s="74">
        <v>109</v>
      </c>
      <c r="B200" s="72" t="s">
        <v>495</v>
      </c>
      <c r="C200" s="72" t="s">
        <v>128</v>
      </c>
      <c r="D200" s="72"/>
      <c r="E200" s="76">
        <v>4587</v>
      </c>
      <c r="F200" s="72">
        <v>4</v>
      </c>
      <c r="G200" s="72" t="s">
        <v>496</v>
      </c>
      <c r="H200" s="72" t="s">
        <v>497</v>
      </c>
      <c r="I200" s="72" t="s">
        <v>142</v>
      </c>
      <c r="J200" s="72" t="s">
        <v>498</v>
      </c>
      <c r="K200" s="25" t="str">
        <f>"00054270"</f>
        <v>00054270</v>
      </c>
    </row>
    <row r="201" spans="1:11" ht="30" customHeight="1" x14ac:dyDescent="0.25">
      <c r="A201" s="75"/>
      <c r="B201" s="73"/>
      <c r="C201" s="73"/>
      <c r="D201" s="73"/>
      <c r="E201" s="77"/>
      <c r="F201" s="73"/>
      <c r="G201" s="73"/>
      <c r="H201" s="73"/>
      <c r="I201" s="73"/>
      <c r="J201" s="73"/>
      <c r="K201" s="27" t="s">
        <v>32</v>
      </c>
    </row>
    <row r="202" spans="1:11" ht="27.75" customHeight="1" x14ac:dyDescent="0.25">
      <c r="A202" s="74">
        <v>109</v>
      </c>
      <c r="B202" s="72" t="s">
        <v>495</v>
      </c>
      <c r="C202" s="72" t="s">
        <v>128</v>
      </c>
      <c r="D202" s="72"/>
      <c r="E202" s="76">
        <v>4547</v>
      </c>
      <c r="F202" s="72">
        <v>4</v>
      </c>
      <c r="G202" s="72" t="s">
        <v>499</v>
      </c>
      <c r="H202" s="72" t="s">
        <v>497</v>
      </c>
      <c r="I202" s="72" t="s">
        <v>142</v>
      </c>
      <c r="J202" s="72" t="s">
        <v>498</v>
      </c>
      <c r="K202" s="25" t="str">
        <f>"00054263"</f>
        <v>00054263</v>
      </c>
    </row>
    <row r="203" spans="1:11" ht="27.75" customHeight="1" x14ac:dyDescent="0.25">
      <c r="A203" s="75"/>
      <c r="B203" s="73"/>
      <c r="C203" s="73"/>
      <c r="D203" s="73"/>
      <c r="E203" s="77"/>
      <c r="F203" s="73"/>
      <c r="G203" s="73"/>
      <c r="H203" s="73"/>
      <c r="I203" s="73"/>
      <c r="J203" s="73"/>
      <c r="K203" s="34" t="s">
        <v>32</v>
      </c>
    </row>
    <row r="204" spans="1:11" ht="60.75" customHeight="1" x14ac:dyDescent="0.25">
      <c r="A204" s="30">
        <v>109</v>
      </c>
      <c r="B204" s="31" t="s">
        <v>495</v>
      </c>
      <c r="C204" s="31" t="s">
        <v>128</v>
      </c>
      <c r="D204" s="31"/>
      <c r="E204" s="32">
        <v>13925</v>
      </c>
      <c r="F204" s="31">
        <v>4</v>
      </c>
      <c r="G204" s="31" t="s">
        <v>500</v>
      </c>
      <c r="H204" s="31" t="s">
        <v>501</v>
      </c>
      <c r="I204" s="31" t="s">
        <v>142</v>
      </c>
      <c r="J204" s="31" t="s">
        <v>455</v>
      </c>
      <c r="K204" s="34" t="str">
        <f>"00054240"</f>
        <v>00054240</v>
      </c>
    </row>
    <row r="205" spans="1:11" ht="30.75" customHeight="1" x14ac:dyDescent="0.25">
      <c r="A205" s="79">
        <v>109</v>
      </c>
      <c r="B205" s="78" t="s">
        <v>502</v>
      </c>
      <c r="C205" s="78" t="s">
        <v>128</v>
      </c>
      <c r="D205" s="78"/>
      <c r="E205" s="80">
        <v>99986</v>
      </c>
      <c r="F205" s="78">
        <v>4</v>
      </c>
      <c r="G205" s="78" t="s">
        <v>503</v>
      </c>
      <c r="H205" s="78" t="s">
        <v>504</v>
      </c>
      <c r="I205" s="78" t="s">
        <v>142</v>
      </c>
      <c r="J205" s="78" t="s">
        <v>153</v>
      </c>
      <c r="K205" s="27" t="str">
        <f>"00053523"</f>
        <v>00053523</v>
      </c>
    </row>
    <row r="206" spans="1:11" ht="30.75" customHeight="1" x14ac:dyDescent="0.25">
      <c r="A206" s="75"/>
      <c r="B206" s="73"/>
      <c r="C206" s="73"/>
      <c r="D206" s="73"/>
      <c r="E206" s="77"/>
      <c r="F206" s="73"/>
      <c r="G206" s="73"/>
      <c r="H206" s="73"/>
      <c r="I206" s="73"/>
      <c r="J206" s="73"/>
      <c r="K206" s="27" t="s">
        <v>32</v>
      </c>
    </row>
    <row r="207" spans="1:11" ht="29.25" customHeight="1" x14ac:dyDescent="0.25">
      <c r="A207" s="74">
        <v>109</v>
      </c>
      <c r="B207" s="72" t="s">
        <v>505</v>
      </c>
      <c r="C207" s="72" t="s">
        <v>128</v>
      </c>
      <c r="D207" s="72"/>
      <c r="E207" s="76">
        <v>49642</v>
      </c>
      <c r="F207" s="72">
        <v>4</v>
      </c>
      <c r="G207" s="72" t="s">
        <v>506</v>
      </c>
      <c r="H207" s="72" t="s">
        <v>507</v>
      </c>
      <c r="I207" s="72" t="s">
        <v>334</v>
      </c>
      <c r="J207" s="72" t="s">
        <v>335</v>
      </c>
      <c r="K207" s="25" t="str">
        <f>"00053543"</f>
        <v>00053543</v>
      </c>
    </row>
    <row r="208" spans="1:11" ht="29.25" customHeight="1" x14ac:dyDescent="0.25">
      <c r="A208" s="75"/>
      <c r="B208" s="73"/>
      <c r="C208" s="73"/>
      <c r="D208" s="73"/>
      <c r="E208" s="77"/>
      <c r="F208" s="73"/>
      <c r="G208" s="73"/>
      <c r="H208" s="73"/>
      <c r="I208" s="73"/>
      <c r="J208" s="73"/>
      <c r="K208" s="27" t="s">
        <v>32</v>
      </c>
    </row>
    <row r="209" spans="1:11" ht="36" customHeight="1" x14ac:dyDescent="0.25">
      <c r="A209" s="74">
        <v>109</v>
      </c>
      <c r="B209" s="72" t="s">
        <v>505</v>
      </c>
      <c r="C209" s="72" t="s">
        <v>128</v>
      </c>
      <c r="D209" s="72"/>
      <c r="E209" s="76">
        <v>43556</v>
      </c>
      <c r="F209" s="72">
        <v>4</v>
      </c>
      <c r="G209" s="72" t="s">
        <v>508</v>
      </c>
      <c r="H209" s="72" t="s">
        <v>509</v>
      </c>
      <c r="I209" s="72" t="s">
        <v>166</v>
      </c>
      <c r="J209" s="72" t="s">
        <v>181</v>
      </c>
      <c r="K209" s="25" t="str">
        <f>"00053414"</f>
        <v>00053414</v>
      </c>
    </row>
    <row r="210" spans="1:11" ht="36" customHeight="1" x14ac:dyDescent="0.25">
      <c r="A210" s="75"/>
      <c r="B210" s="73"/>
      <c r="C210" s="73"/>
      <c r="D210" s="73"/>
      <c r="E210" s="77"/>
      <c r="F210" s="73"/>
      <c r="G210" s="73"/>
      <c r="H210" s="73"/>
      <c r="I210" s="73"/>
      <c r="J210" s="73"/>
      <c r="K210" s="27" t="s">
        <v>32</v>
      </c>
    </row>
    <row r="211" spans="1:11" ht="29.25" customHeight="1" x14ac:dyDescent="0.25">
      <c r="A211" s="74">
        <v>109</v>
      </c>
      <c r="B211" s="72" t="s">
        <v>505</v>
      </c>
      <c r="C211" s="72" t="s">
        <v>128</v>
      </c>
      <c r="D211" s="72"/>
      <c r="E211" s="76">
        <v>90000</v>
      </c>
      <c r="F211" s="72">
        <v>4</v>
      </c>
      <c r="G211" s="72" t="s">
        <v>510</v>
      </c>
      <c r="H211" s="72" t="s">
        <v>511</v>
      </c>
      <c r="I211" s="72" t="s">
        <v>142</v>
      </c>
      <c r="J211" s="72" t="s">
        <v>512</v>
      </c>
      <c r="K211" s="25" t="str">
        <f>"00053503"</f>
        <v>00053503</v>
      </c>
    </row>
    <row r="212" spans="1:11" ht="29.25" customHeight="1" x14ac:dyDescent="0.25">
      <c r="A212" s="75"/>
      <c r="B212" s="73"/>
      <c r="C212" s="73"/>
      <c r="D212" s="73"/>
      <c r="E212" s="77"/>
      <c r="F212" s="73"/>
      <c r="G212" s="73"/>
      <c r="H212" s="73"/>
      <c r="I212" s="73"/>
      <c r="J212" s="73"/>
      <c r="K212" s="27" t="s">
        <v>32</v>
      </c>
    </row>
    <row r="213" spans="1:11" ht="29.25" customHeight="1" x14ac:dyDescent="0.25">
      <c r="A213" s="74">
        <v>109</v>
      </c>
      <c r="B213" s="72" t="s">
        <v>490</v>
      </c>
      <c r="C213" s="72" t="s">
        <v>128</v>
      </c>
      <c r="D213" s="72"/>
      <c r="E213" s="76">
        <v>9557</v>
      </c>
      <c r="F213" s="72">
        <v>4</v>
      </c>
      <c r="G213" s="72" t="s">
        <v>510</v>
      </c>
      <c r="H213" s="72" t="s">
        <v>511</v>
      </c>
      <c r="I213" s="72" t="s">
        <v>142</v>
      </c>
      <c r="J213" s="72" t="s">
        <v>512</v>
      </c>
      <c r="K213" s="25" t="str">
        <f>"00053503"</f>
        <v>00053503</v>
      </c>
    </row>
    <row r="214" spans="1:11" ht="29.25" customHeight="1" x14ac:dyDescent="0.25">
      <c r="A214" s="75"/>
      <c r="B214" s="73"/>
      <c r="C214" s="73"/>
      <c r="D214" s="73"/>
      <c r="E214" s="77"/>
      <c r="F214" s="73"/>
      <c r="G214" s="73"/>
      <c r="H214" s="73"/>
      <c r="I214" s="73"/>
      <c r="J214" s="73"/>
      <c r="K214" s="27" t="s">
        <v>32</v>
      </c>
    </row>
    <row r="215" spans="1:11" ht="69" customHeight="1" x14ac:dyDescent="0.25">
      <c r="A215" s="22">
        <v>109</v>
      </c>
      <c r="B215" s="23" t="s">
        <v>513</v>
      </c>
      <c r="C215" s="23" t="s">
        <v>128</v>
      </c>
      <c r="D215" s="23"/>
      <c r="E215" s="24">
        <v>32646</v>
      </c>
      <c r="F215" s="23">
        <v>4</v>
      </c>
      <c r="G215" s="23" t="s">
        <v>514</v>
      </c>
      <c r="H215" s="23" t="s">
        <v>515</v>
      </c>
      <c r="I215" s="23" t="s">
        <v>262</v>
      </c>
      <c r="J215" s="23" t="s">
        <v>516</v>
      </c>
      <c r="K215" s="25" t="str">
        <f>"00053265"</f>
        <v>00053265</v>
      </c>
    </row>
    <row r="216" spans="1:11" ht="66.75" customHeight="1" x14ac:dyDescent="0.25">
      <c r="A216" s="22">
        <v>109</v>
      </c>
      <c r="B216" s="23" t="s">
        <v>513</v>
      </c>
      <c r="C216" s="23" t="s">
        <v>128</v>
      </c>
      <c r="D216" s="23"/>
      <c r="E216" s="24">
        <v>67354</v>
      </c>
      <c r="F216" s="23">
        <v>4</v>
      </c>
      <c r="G216" s="23" t="s">
        <v>517</v>
      </c>
      <c r="H216" s="23" t="s">
        <v>515</v>
      </c>
      <c r="I216" s="23" t="s">
        <v>262</v>
      </c>
      <c r="J216" s="23" t="s">
        <v>516</v>
      </c>
      <c r="K216" s="25" t="str">
        <f>"00053264"</f>
        <v>00053264</v>
      </c>
    </row>
    <row r="217" spans="1:11" ht="51" customHeight="1" x14ac:dyDescent="0.25">
      <c r="A217" s="22">
        <v>109</v>
      </c>
      <c r="B217" s="23" t="s">
        <v>518</v>
      </c>
      <c r="C217" s="23" t="s">
        <v>128</v>
      </c>
      <c r="D217" s="23"/>
      <c r="E217" s="24">
        <v>65170</v>
      </c>
      <c r="F217" s="23">
        <v>4</v>
      </c>
      <c r="G217" s="23" t="s">
        <v>519</v>
      </c>
      <c r="H217" s="23" t="s">
        <v>515</v>
      </c>
      <c r="I217" s="23" t="s">
        <v>262</v>
      </c>
      <c r="J217" s="23" t="s">
        <v>516</v>
      </c>
      <c r="K217" s="25" t="str">
        <f>"00053206"</f>
        <v>00053206</v>
      </c>
    </row>
    <row r="218" spans="1:11" ht="60" customHeight="1" x14ac:dyDescent="0.25">
      <c r="A218" s="22">
        <v>109</v>
      </c>
      <c r="B218" s="23" t="s">
        <v>520</v>
      </c>
      <c r="C218" s="23" t="s">
        <v>128</v>
      </c>
      <c r="D218" s="23"/>
      <c r="E218" s="24">
        <v>84363</v>
      </c>
      <c r="F218" s="23">
        <v>4</v>
      </c>
      <c r="G218" s="23" t="s">
        <v>521</v>
      </c>
      <c r="H218" s="23" t="s">
        <v>522</v>
      </c>
      <c r="I218" s="23" t="s">
        <v>262</v>
      </c>
      <c r="J218" s="23" t="s">
        <v>516</v>
      </c>
      <c r="K218" s="25" t="str">
        <f>"00053262"</f>
        <v>00053262</v>
      </c>
    </row>
    <row r="219" spans="1:11" ht="56.25" customHeight="1" x14ac:dyDescent="0.25">
      <c r="A219" s="22">
        <v>109</v>
      </c>
      <c r="B219" s="23" t="s">
        <v>520</v>
      </c>
      <c r="C219" s="23" t="s">
        <v>128</v>
      </c>
      <c r="D219" s="23"/>
      <c r="E219" s="24">
        <v>66879</v>
      </c>
      <c r="F219" s="23">
        <v>4</v>
      </c>
      <c r="G219" s="23" t="s">
        <v>523</v>
      </c>
      <c r="H219" s="23" t="s">
        <v>524</v>
      </c>
      <c r="I219" s="23" t="s">
        <v>262</v>
      </c>
      <c r="J219" s="23" t="s">
        <v>516</v>
      </c>
      <c r="K219" s="25" t="str">
        <f>"00053242"</f>
        <v>00053242</v>
      </c>
    </row>
    <row r="220" spans="1:11" ht="28.5" x14ac:dyDescent="0.25">
      <c r="A220" s="22">
        <v>109</v>
      </c>
      <c r="B220" s="23" t="s">
        <v>525</v>
      </c>
      <c r="C220" s="23" t="s">
        <v>128</v>
      </c>
      <c r="D220" s="23"/>
      <c r="E220" s="24">
        <v>78421</v>
      </c>
      <c r="F220" s="23">
        <v>4</v>
      </c>
      <c r="G220" s="23" t="s">
        <v>526</v>
      </c>
      <c r="H220" s="23" t="s">
        <v>527</v>
      </c>
      <c r="I220" s="23" t="s">
        <v>399</v>
      </c>
      <c r="J220" s="23" t="s">
        <v>528</v>
      </c>
      <c r="K220" s="25" t="str">
        <f>"00053583"</f>
        <v>00053583</v>
      </c>
    </row>
    <row r="221" spans="1:11" ht="54" customHeight="1" x14ac:dyDescent="0.25">
      <c r="A221" s="22">
        <v>109</v>
      </c>
      <c r="B221" s="23" t="s">
        <v>529</v>
      </c>
      <c r="C221" s="23" t="s">
        <v>128</v>
      </c>
      <c r="D221" s="23"/>
      <c r="E221" s="24">
        <v>4937</v>
      </c>
      <c r="F221" s="23">
        <v>4</v>
      </c>
      <c r="G221" s="23" t="s">
        <v>530</v>
      </c>
      <c r="H221" s="23" t="s">
        <v>531</v>
      </c>
      <c r="I221" s="23" t="s">
        <v>532</v>
      </c>
      <c r="J221" s="23" t="s">
        <v>533</v>
      </c>
      <c r="K221" s="25" t="str">
        <f>"00054273"</f>
        <v>00054273</v>
      </c>
    </row>
    <row r="222" spans="1:11" ht="55.5" customHeight="1" x14ac:dyDescent="0.25">
      <c r="A222" s="30">
        <v>109</v>
      </c>
      <c r="B222" s="31" t="s">
        <v>529</v>
      </c>
      <c r="C222" s="31" t="s">
        <v>128</v>
      </c>
      <c r="D222" s="31"/>
      <c r="E222" s="32">
        <v>3301</v>
      </c>
      <c r="F222" s="31">
        <v>4</v>
      </c>
      <c r="G222" s="31" t="s">
        <v>530</v>
      </c>
      <c r="H222" s="31" t="s">
        <v>531</v>
      </c>
      <c r="I222" s="31" t="s">
        <v>532</v>
      </c>
      <c r="J222" s="31" t="s">
        <v>533</v>
      </c>
      <c r="K222" s="33" t="str">
        <f>"00054276"</f>
        <v>00054276</v>
      </c>
    </row>
    <row r="223" spans="1:11" ht="58.5" customHeight="1" x14ac:dyDescent="0.25">
      <c r="A223" s="35">
        <v>109</v>
      </c>
      <c r="B223" s="36" t="s">
        <v>534</v>
      </c>
      <c r="C223" s="36" t="s">
        <v>128</v>
      </c>
      <c r="D223" s="36"/>
      <c r="E223" s="37">
        <v>7086</v>
      </c>
      <c r="F223" s="36">
        <v>4</v>
      </c>
      <c r="G223" s="36" t="s">
        <v>535</v>
      </c>
      <c r="H223" s="36" t="s">
        <v>536</v>
      </c>
      <c r="I223" s="36" t="s">
        <v>142</v>
      </c>
      <c r="J223" s="36" t="s">
        <v>537</v>
      </c>
      <c r="K223" s="34" t="str">
        <f>"00054490"</f>
        <v>00054490</v>
      </c>
    </row>
    <row r="224" spans="1:11" ht="48.75" customHeight="1" x14ac:dyDescent="0.25">
      <c r="A224" s="38">
        <v>109</v>
      </c>
      <c r="B224" s="39" t="s">
        <v>538</v>
      </c>
      <c r="C224" s="39" t="s">
        <v>128</v>
      </c>
      <c r="D224" s="39"/>
      <c r="E224" s="40">
        <v>5325</v>
      </c>
      <c r="F224" s="39">
        <v>4</v>
      </c>
      <c r="G224" s="39" t="s">
        <v>539</v>
      </c>
      <c r="H224" s="39" t="s">
        <v>540</v>
      </c>
      <c r="I224" s="39" t="s">
        <v>532</v>
      </c>
      <c r="J224" s="39" t="s">
        <v>537</v>
      </c>
      <c r="K224" s="27" t="str">
        <f>"00054470"</f>
        <v>00054470</v>
      </c>
    </row>
    <row r="225" spans="1:11" ht="19.5" customHeight="1" x14ac:dyDescent="0.25">
      <c r="A225" s="74">
        <v>109</v>
      </c>
      <c r="B225" s="72" t="s">
        <v>541</v>
      </c>
      <c r="C225" s="72" t="s">
        <v>128</v>
      </c>
      <c r="D225" s="72"/>
      <c r="E225" s="76">
        <v>24500</v>
      </c>
      <c r="F225" s="72">
        <v>4</v>
      </c>
      <c r="G225" s="72" t="s">
        <v>542</v>
      </c>
      <c r="H225" s="72" t="s">
        <v>543</v>
      </c>
      <c r="I225" s="72" t="s">
        <v>142</v>
      </c>
      <c r="J225" s="72" t="s">
        <v>544</v>
      </c>
      <c r="K225" s="25" t="str">
        <f>"00053735"</f>
        <v>00053735</v>
      </c>
    </row>
    <row r="226" spans="1:11" ht="45.75" customHeight="1" x14ac:dyDescent="0.25">
      <c r="A226" s="75"/>
      <c r="B226" s="73"/>
      <c r="C226" s="73"/>
      <c r="D226" s="73"/>
      <c r="E226" s="77"/>
      <c r="F226" s="73"/>
      <c r="G226" s="73"/>
      <c r="H226" s="73"/>
      <c r="I226" s="73"/>
      <c r="J226" s="73"/>
      <c r="K226" s="28" t="s">
        <v>177</v>
      </c>
    </row>
    <row r="227" spans="1:11" ht="54.75" customHeight="1" x14ac:dyDescent="0.25">
      <c r="A227" s="22">
        <v>109</v>
      </c>
      <c r="B227" s="23" t="s">
        <v>545</v>
      </c>
      <c r="C227" s="23" t="s">
        <v>128</v>
      </c>
      <c r="D227" s="23"/>
      <c r="E227" s="24">
        <v>55000</v>
      </c>
      <c r="F227" s="23">
        <v>4</v>
      </c>
      <c r="G227" s="23" t="s">
        <v>545</v>
      </c>
      <c r="H227" s="23" t="s">
        <v>546</v>
      </c>
      <c r="I227" s="23" t="s">
        <v>532</v>
      </c>
      <c r="J227" s="23" t="s">
        <v>547</v>
      </c>
      <c r="K227" s="25" t="str">
        <f>"00053722"</f>
        <v>00053722</v>
      </c>
    </row>
    <row r="228" spans="1:11" ht="51" customHeight="1" x14ac:dyDescent="0.25">
      <c r="A228" s="74">
        <v>109</v>
      </c>
      <c r="B228" s="72" t="s">
        <v>548</v>
      </c>
      <c r="C228" s="72" t="s">
        <v>128</v>
      </c>
      <c r="D228" s="72"/>
      <c r="E228" s="76">
        <v>82301</v>
      </c>
      <c r="F228" s="72">
        <v>4</v>
      </c>
      <c r="G228" s="72" t="s">
        <v>549</v>
      </c>
      <c r="H228" s="72" t="s">
        <v>550</v>
      </c>
      <c r="I228" s="72" t="s">
        <v>142</v>
      </c>
      <c r="J228" s="72" t="s">
        <v>153</v>
      </c>
      <c r="K228" s="25" t="str">
        <f>"00053560"</f>
        <v>00053560</v>
      </c>
    </row>
    <row r="229" spans="1:11" ht="51" customHeight="1" x14ac:dyDescent="0.25">
      <c r="A229" s="75"/>
      <c r="B229" s="73"/>
      <c r="C229" s="73"/>
      <c r="D229" s="73"/>
      <c r="E229" s="77"/>
      <c r="F229" s="73"/>
      <c r="G229" s="73"/>
      <c r="H229" s="73"/>
      <c r="I229" s="73"/>
      <c r="J229" s="73"/>
      <c r="K229" s="27" t="s">
        <v>32</v>
      </c>
    </row>
    <row r="230" spans="1:11" ht="52.5" customHeight="1" x14ac:dyDescent="0.25">
      <c r="A230" s="22">
        <v>109</v>
      </c>
      <c r="B230" s="23" t="s">
        <v>551</v>
      </c>
      <c r="C230" s="23" t="s">
        <v>128</v>
      </c>
      <c r="D230" s="23"/>
      <c r="E230" s="24">
        <v>71493</v>
      </c>
      <c r="F230" s="23">
        <v>4</v>
      </c>
      <c r="G230" s="23" t="s">
        <v>552</v>
      </c>
      <c r="H230" s="23" t="s">
        <v>553</v>
      </c>
      <c r="I230" s="23" t="s">
        <v>142</v>
      </c>
      <c r="J230" s="23" t="s">
        <v>391</v>
      </c>
      <c r="K230" s="25" t="str">
        <f>"00053517"</f>
        <v>00053517</v>
      </c>
    </row>
    <row r="231" spans="1:11" ht="52.5" customHeight="1" x14ac:dyDescent="0.25">
      <c r="A231" s="22">
        <v>109</v>
      </c>
      <c r="B231" s="23" t="s">
        <v>554</v>
      </c>
      <c r="C231" s="23" t="s">
        <v>128</v>
      </c>
      <c r="D231" s="23"/>
      <c r="E231" s="24">
        <v>33108</v>
      </c>
      <c r="F231" s="23">
        <v>4</v>
      </c>
      <c r="G231" s="23" t="s">
        <v>555</v>
      </c>
      <c r="H231" s="23" t="s">
        <v>556</v>
      </c>
      <c r="I231" s="23" t="s">
        <v>334</v>
      </c>
      <c r="J231" s="23" t="s">
        <v>557</v>
      </c>
      <c r="K231" s="25" t="str">
        <f>"00053986"</f>
        <v>00053986</v>
      </c>
    </row>
    <row r="232" spans="1:11" ht="23.25" customHeight="1" x14ac:dyDescent="0.25">
      <c r="A232" s="74">
        <v>109</v>
      </c>
      <c r="B232" s="72" t="s">
        <v>558</v>
      </c>
      <c r="C232" s="72" t="s">
        <v>128</v>
      </c>
      <c r="D232" s="72"/>
      <c r="E232" s="76">
        <v>8600</v>
      </c>
      <c r="F232" s="72">
        <v>4</v>
      </c>
      <c r="G232" s="72" t="s">
        <v>559</v>
      </c>
      <c r="H232" s="72" t="s">
        <v>560</v>
      </c>
      <c r="I232" s="72" t="s">
        <v>142</v>
      </c>
      <c r="J232" s="72" t="s">
        <v>561</v>
      </c>
      <c r="K232" s="25" t="str">
        <f>"00053847"</f>
        <v>00053847</v>
      </c>
    </row>
    <row r="233" spans="1:11" ht="48" customHeight="1" x14ac:dyDescent="0.25">
      <c r="A233" s="75"/>
      <c r="B233" s="73"/>
      <c r="C233" s="73"/>
      <c r="D233" s="73"/>
      <c r="E233" s="77"/>
      <c r="F233" s="73"/>
      <c r="G233" s="73"/>
      <c r="H233" s="73"/>
      <c r="I233" s="73"/>
      <c r="J233" s="73"/>
      <c r="K233" s="28" t="s">
        <v>562</v>
      </c>
    </row>
    <row r="234" spans="1:11" ht="20.25" customHeight="1" x14ac:dyDescent="0.25">
      <c r="A234" s="74">
        <v>109</v>
      </c>
      <c r="B234" s="72" t="s">
        <v>563</v>
      </c>
      <c r="C234" s="72" t="s">
        <v>128</v>
      </c>
      <c r="D234" s="72"/>
      <c r="E234" s="76">
        <v>3000</v>
      </c>
      <c r="F234" s="72">
        <v>4</v>
      </c>
      <c r="G234" s="72" t="s">
        <v>564</v>
      </c>
      <c r="H234" s="72" t="s">
        <v>565</v>
      </c>
      <c r="I234" s="72" t="s">
        <v>566</v>
      </c>
      <c r="J234" s="72" t="s">
        <v>567</v>
      </c>
      <c r="K234" s="25" t="str">
        <f>"00054084"</f>
        <v>00054084</v>
      </c>
    </row>
    <row r="235" spans="1:11" ht="48" customHeight="1" x14ac:dyDescent="0.25">
      <c r="A235" s="75"/>
      <c r="B235" s="73"/>
      <c r="C235" s="73"/>
      <c r="D235" s="73"/>
      <c r="E235" s="77"/>
      <c r="F235" s="73"/>
      <c r="G235" s="73"/>
      <c r="H235" s="73"/>
      <c r="I235" s="73"/>
      <c r="J235" s="73"/>
      <c r="K235" s="28" t="s">
        <v>562</v>
      </c>
    </row>
    <row r="236" spans="1:11" ht="58.5" customHeight="1" x14ac:dyDescent="0.25">
      <c r="A236" s="22">
        <v>109</v>
      </c>
      <c r="B236" s="23" t="s">
        <v>568</v>
      </c>
      <c r="C236" s="23" t="s">
        <v>128</v>
      </c>
      <c r="D236" s="23"/>
      <c r="E236" s="24">
        <v>71750</v>
      </c>
      <c r="F236" s="23">
        <v>4</v>
      </c>
      <c r="G236" s="23" t="s">
        <v>569</v>
      </c>
      <c r="H236" s="23" t="s">
        <v>570</v>
      </c>
      <c r="I236" s="23" t="s">
        <v>142</v>
      </c>
      <c r="J236" s="23" t="s">
        <v>391</v>
      </c>
      <c r="K236" s="25" t="str">
        <f>"00053317"</f>
        <v>00053317</v>
      </c>
    </row>
    <row r="237" spans="1:11" ht="56.25" customHeight="1" x14ac:dyDescent="0.25">
      <c r="A237" s="22">
        <v>109</v>
      </c>
      <c r="B237" s="23" t="s">
        <v>571</v>
      </c>
      <c r="C237" s="23" t="s">
        <v>128</v>
      </c>
      <c r="D237" s="23"/>
      <c r="E237" s="24">
        <v>40545</v>
      </c>
      <c r="F237" s="23">
        <v>4</v>
      </c>
      <c r="G237" s="23" t="s">
        <v>572</v>
      </c>
      <c r="H237" s="23" t="s">
        <v>573</v>
      </c>
      <c r="I237" s="23" t="s">
        <v>262</v>
      </c>
      <c r="J237" s="23" t="s">
        <v>574</v>
      </c>
      <c r="K237" s="25" t="str">
        <f>"00053498"</f>
        <v>00053498</v>
      </c>
    </row>
    <row r="238" spans="1:11" ht="56.25" customHeight="1" x14ac:dyDescent="0.25">
      <c r="A238" s="22">
        <v>109</v>
      </c>
      <c r="B238" s="23" t="s">
        <v>575</v>
      </c>
      <c r="C238" s="23" t="s">
        <v>128</v>
      </c>
      <c r="D238" s="23"/>
      <c r="E238" s="24">
        <v>53924</v>
      </c>
      <c r="F238" s="23">
        <v>4</v>
      </c>
      <c r="G238" s="23" t="s">
        <v>576</v>
      </c>
      <c r="H238" s="23" t="s">
        <v>577</v>
      </c>
      <c r="I238" s="23" t="s">
        <v>185</v>
      </c>
      <c r="J238" s="23" t="s">
        <v>578</v>
      </c>
      <c r="K238" s="25" t="str">
        <f>"00053709"</f>
        <v>00053709</v>
      </c>
    </row>
    <row r="239" spans="1:11" ht="105" customHeight="1" x14ac:dyDescent="0.25">
      <c r="A239" s="30">
        <v>109</v>
      </c>
      <c r="B239" s="31" t="s">
        <v>579</v>
      </c>
      <c r="C239" s="31" t="s">
        <v>128</v>
      </c>
      <c r="D239" s="31"/>
      <c r="E239" s="32">
        <v>45274</v>
      </c>
      <c r="F239" s="31">
        <v>4</v>
      </c>
      <c r="G239" s="31" t="s">
        <v>580</v>
      </c>
      <c r="H239" s="31" t="s">
        <v>581</v>
      </c>
      <c r="I239" s="31" t="s">
        <v>185</v>
      </c>
      <c r="J239" s="31" t="s">
        <v>578</v>
      </c>
      <c r="K239" s="33" t="str">
        <f>"00053572"</f>
        <v>00053572</v>
      </c>
    </row>
    <row r="240" spans="1:11" ht="14.25" customHeight="1" x14ac:dyDescent="0.25">
      <c r="A240" s="79">
        <v>109</v>
      </c>
      <c r="B240" s="78" t="s">
        <v>582</v>
      </c>
      <c r="C240" s="78" t="s">
        <v>128</v>
      </c>
      <c r="D240" s="78"/>
      <c r="E240" s="80">
        <v>5794</v>
      </c>
      <c r="F240" s="78">
        <v>4</v>
      </c>
      <c r="G240" s="78" t="s">
        <v>583</v>
      </c>
      <c r="H240" s="78" t="s">
        <v>584</v>
      </c>
      <c r="I240" s="78" t="s">
        <v>166</v>
      </c>
      <c r="J240" s="78" t="s">
        <v>585</v>
      </c>
      <c r="K240" s="27" t="str">
        <f>"00054084"</f>
        <v>00054084</v>
      </c>
    </row>
    <row r="241" spans="1:11" ht="48" customHeight="1" x14ac:dyDescent="0.25">
      <c r="A241" s="75"/>
      <c r="B241" s="73"/>
      <c r="C241" s="73"/>
      <c r="D241" s="73"/>
      <c r="E241" s="77"/>
      <c r="F241" s="73"/>
      <c r="G241" s="73"/>
      <c r="H241" s="73"/>
      <c r="I241" s="73"/>
      <c r="J241" s="73"/>
      <c r="K241" s="28" t="s">
        <v>562</v>
      </c>
    </row>
    <row r="242" spans="1:11" ht="65.25" customHeight="1" x14ac:dyDescent="0.25">
      <c r="A242" s="22">
        <v>109</v>
      </c>
      <c r="B242" s="23" t="s">
        <v>586</v>
      </c>
      <c r="C242" s="23" t="s">
        <v>128</v>
      </c>
      <c r="D242" s="23"/>
      <c r="E242" s="24">
        <v>104746</v>
      </c>
      <c r="F242" s="23">
        <v>4</v>
      </c>
      <c r="G242" s="23" t="s">
        <v>587</v>
      </c>
      <c r="H242" s="23" t="s">
        <v>588</v>
      </c>
      <c r="I242" s="23" t="s">
        <v>142</v>
      </c>
      <c r="J242" s="23" t="s">
        <v>391</v>
      </c>
      <c r="K242" s="25" t="str">
        <f>"00053343"</f>
        <v>00053343</v>
      </c>
    </row>
    <row r="243" spans="1:11" ht="65.25" customHeight="1" x14ac:dyDescent="0.25">
      <c r="A243" s="22">
        <v>109</v>
      </c>
      <c r="B243" s="23" t="s">
        <v>575</v>
      </c>
      <c r="C243" s="23" t="s">
        <v>128</v>
      </c>
      <c r="D243" s="23"/>
      <c r="E243" s="24">
        <v>32306</v>
      </c>
      <c r="F243" s="23">
        <v>4</v>
      </c>
      <c r="G243" s="23" t="s">
        <v>589</v>
      </c>
      <c r="H243" s="23" t="s">
        <v>590</v>
      </c>
      <c r="I243" s="23" t="s">
        <v>166</v>
      </c>
      <c r="J243" s="23" t="s">
        <v>591</v>
      </c>
      <c r="K243" s="25" t="str">
        <f>"00053448"</f>
        <v>00053448</v>
      </c>
    </row>
    <row r="244" spans="1:11" ht="65.25" customHeight="1" x14ac:dyDescent="0.25">
      <c r="A244" s="22">
        <v>109</v>
      </c>
      <c r="B244" s="23" t="s">
        <v>592</v>
      </c>
      <c r="C244" s="23" t="s">
        <v>128</v>
      </c>
      <c r="D244" s="23"/>
      <c r="E244" s="24">
        <v>77499</v>
      </c>
      <c r="F244" s="23">
        <v>4</v>
      </c>
      <c r="G244" s="23" t="s">
        <v>593</v>
      </c>
      <c r="H244" s="23" t="s">
        <v>594</v>
      </c>
      <c r="I244" s="23" t="s">
        <v>595</v>
      </c>
      <c r="J244" s="23" t="s">
        <v>596</v>
      </c>
      <c r="K244" s="25" t="str">
        <f>"00053226"</f>
        <v>00053226</v>
      </c>
    </row>
    <row r="245" spans="1:11" ht="74.25" customHeight="1" x14ac:dyDescent="0.25">
      <c r="A245" s="22">
        <v>109</v>
      </c>
      <c r="B245" s="23" t="s">
        <v>582</v>
      </c>
      <c r="C245" s="23" t="s">
        <v>128</v>
      </c>
      <c r="D245" s="23"/>
      <c r="E245" s="24">
        <v>44718</v>
      </c>
      <c r="F245" s="23">
        <v>4</v>
      </c>
      <c r="G245" s="23" t="s">
        <v>597</v>
      </c>
      <c r="H245" s="23" t="s">
        <v>598</v>
      </c>
      <c r="I245" s="23" t="s">
        <v>142</v>
      </c>
      <c r="J245" s="23" t="s">
        <v>391</v>
      </c>
      <c r="K245" s="25" t="str">
        <f>"00052941"</f>
        <v>00052941</v>
      </c>
    </row>
    <row r="246" spans="1:11" ht="42.75" customHeight="1" x14ac:dyDescent="0.25">
      <c r="A246" s="74">
        <v>109</v>
      </c>
      <c r="B246" s="72" t="s">
        <v>599</v>
      </c>
      <c r="C246" s="72" t="s">
        <v>128</v>
      </c>
      <c r="D246" s="72"/>
      <c r="E246" s="76">
        <v>7600</v>
      </c>
      <c r="F246" s="72">
        <v>4</v>
      </c>
      <c r="G246" s="72" t="s">
        <v>600</v>
      </c>
      <c r="H246" s="72" t="s">
        <v>601</v>
      </c>
      <c r="I246" s="72" t="s">
        <v>602</v>
      </c>
      <c r="J246" s="72" t="s">
        <v>603</v>
      </c>
      <c r="K246" s="25" t="str">
        <f>"00054286"</f>
        <v>00054286</v>
      </c>
    </row>
    <row r="247" spans="1:11" ht="45" customHeight="1" x14ac:dyDescent="0.25">
      <c r="A247" s="75"/>
      <c r="B247" s="73"/>
      <c r="C247" s="73"/>
      <c r="D247" s="73"/>
      <c r="E247" s="77"/>
      <c r="F247" s="73"/>
      <c r="G247" s="73"/>
      <c r="H247" s="73"/>
      <c r="I247" s="73"/>
      <c r="J247" s="73"/>
      <c r="K247" s="28" t="s">
        <v>177</v>
      </c>
    </row>
    <row r="248" spans="1:11" ht="14.25" customHeight="1" x14ac:dyDescent="0.25">
      <c r="A248" s="74">
        <v>109</v>
      </c>
      <c r="B248" s="72" t="s">
        <v>604</v>
      </c>
      <c r="C248" s="72" t="s">
        <v>128</v>
      </c>
      <c r="D248" s="72"/>
      <c r="E248" s="76">
        <v>6753</v>
      </c>
      <c r="F248" s="72">
        <v>4</v>
      </c>
      <c r="G248" s="72" t="s">
        <v>605</v>
      </c>
      <c r="H248" s="72" t="s">
        <v>606</v>
      </c>
      <c r="I248" s="72" t="s">
        <v>607</v>
      </c>
      <c r="J248" s="72" t="s">
        <v>608</v>
      </c>
      <c r="K248" s="25" t="str">
        <f>"00053795"</f>
        <v>00053795</v>
      </c>
    </row>
    <row r="249" spans="1:11" ht="45" customHeight="1" x14ac:dyDescent="0.25">
      <c r="A249" s="75"/>
      <c r="B249" s="73"/>
      <c r="C249" s="73"/>
      <c r="D249" s="73"/>
      <c r="E249" s="77"/>
      <c r="F249" s="73"/>
      <c r="G249" s="73"/>
      <c r="H249" s="73"/>
      <c r="I249" s="73"/>
      <c r="J249" s="73"/>
      <c r="K249" s="28" t="s">
        <v>177</v>
      </c>
    </row>
    <row r="250" spans="1:11" ht="58.5" customHeight="1" x14ac:dyDescent="0.25">
      <c r="A250" s="74">
        <v>109</v>
      </c>
      <c r="B250" s="72" t="s">
        <v>604</v>
      </c>
      <c r="C250" s="72" t="s">
        <v>128</v>
      </c>
      <c r="D250" s="72"/>
      <c r="E250" s="76">
        <v>6753</v>
      </c>
      <c r="F250" s="72">
        <v>4</v>
      </c>
      <c r="G250" s="72" t="s">
        <v>609</v>
      </c>
      <c r="H250" s="72" t="s">
        <v>606</v>
      </c>
      <c r="I250" s="72" t="s">
        <v>607</v>
      </c>
      <c r="J250" s="72" t="s">
        <v>608</v>
      </c>
      <c r="K250" s="25" t="str">
        <f>"00054244"</f>
        <v>00054244</v>
      </c>
    </row>
    <row r="251" spans="1:11" ht="58.5" customHeight="1" x14ac:dyDescent="0.25">
      <c r="A251" s="75"/>
      <c r="B251" s="73"/>
      <c r="C251" s="73"/>
      <c r="D251" s="73"/>
      <c r="E251" s="77"/>
      <c r="F251" s="73"/>
      <c r="G251" s="73"/>
      <c r="H251" s="73"/>
      <c r="I251" s="73"/>
      <c r="J251" s="73"/>
      <c r="K251" s="28" t="s">
        <v>177</v>
      </c>
    </row>
    <row r="252" spans="1:11" ht="129.75" customHeight="1" x14ac:dyDescent="0.25">
      <c r="A252" s="30">
        <v>109</v>
      </c>
      <c r="B252" s="31" t="s">
        <v>610</v>
      </c>
      <c r="C252" s="31" t="s">
        <v>128</v>
      </c>
      <c r="D252" s="31"/>
      <c r="E252" s="32">
        <v>11602</v>
      </c>
      <c r="F252" s="31">
        <v>4</v>
      </c>
      <c r="G252" s="31" t="s">
        <v>611</v>
      </c>
      <c r="H252" s="31" t="s">
        <v>612</v>
      </c>
      <c r="I252" s="31" t="s">
        <v>166</v>
      </c>
      <c r="J252" s="31" t="s">
        <v>613</v>
      </c>
      <c r="K252" s="33" t="str">
        <f>"00053515"</f>
        <v>00053515</v>
      </c>
    </row>
    <row r="253" spans="1:11" ht="84" customHeight="1" x14ac:dyDescent="0.25">
      <c r="A253" s="41">
        <v>109</v>
      </c>
      <c r="B253" s="42" t="s">
        <v>614</v>
      </c>
      <c r="C253" s="42" t="s">
        <v>128</v>
      </c>
      <c r="D253" s="42"/>
      <c r="E253" s="43">
        <v>118890</v>
      </c>
      <c r="F253" s="42">
        <v>4</v>
      </c>
      <c r="G253" s="42" t="s">
        <v>615</v>
      </c>
      <c r="H253" s="42" t="s">
        <v>616</v>
      </c>
      <c r="I253" s="42" t="s">
        <v>142</v>
      </c>
      <c r="J253" s="42" t="s">
        <v>413</v>
      </c>
      <c r="K253" s="44" t="str">
        <f>"00053690"</f>
        <v>00053690</v>
      </c>
    </row>
    <row r="254" spans="1:11" ht="129" customHeight="1" x14ac:dyDescent="0.25">
      <c r="A254" s="35">
        <v>109</v>
      </c>
      <c r="B254" s="36" t="s">
        <v>610</v>
      </c>
      <c r="C254" s="36" t="s">
        <v>128</v>
      </c>
      <c r="D254" s="36"/>
      <c r="E254" s="37">
        <v>9912</v>
      </c>
      <c r="F254" s="36">
        <v>4</v>
      </c>
      <c r="G254" s="36" t="s">
        <v>617</v>
      </c>
      <c r="H254" s="36" t="s">
        <v>618</v>
      </c>
      <c r="I254" s="36" t="s">
        <v>166</v>
      </c>
      <c r="J254" s="36" t="s">
        <v>613</v>
      </c>
      <c r="K254" s="34" t="str">
        <f>"00053510"</f>
        <v>00053510</v>
      </c>
    </row>
    <row r="255" spans="1:11" ht="30" customHeight="1" x14ac:dyDescent="0.25">
      <c r="A255" s="74">
        <v>109</v>
      </c>
      <c r="B255" s="72" t="s">
        <v>619</v>
      </c>
      <c r="C255" s="72" t="s">
        <v>128</v>
      </c>
      <c r="D255" s="72"/>
      <c r="E255" s="76">
        <v>8314</v>
      </c>
      <c r="F255" s="72">
        <v>4</v>
      </c>
      <c r="G255" s="72" t="s">
        <v>620</v>
      </c>
      <c r="H255" s="72" t="s">
        <v>621</v>
      </c>
      <c r="I255" s="72" t="s">
        <v>474</v>
      </c>
      <c r="J255" s="72" t="s">
        <v>622</v>
      </c>
      <c r="K255" s="25" t="str">
        <f>"00053861"</f>
        <v>00053861</v>
      </c>
    </row>
    <row r="256" spans="1:11" ht="38.25" customHeight="1" x14ac:dyDescent="0.25">
      <c r="A256" s="75"/>
      <c r="B256" s="73"/>
      <c r="C256" s="73"/>
      <c r="D256" s="73"/>
      <c r="E256" s="77"/>
      <c r="F256" s="73"/>
      <c r="G256" s="73"/>
      <c r="H256" s="73"/>
      <c r="I256" s="73"/>
      <c r="J256" s="73"/>
      <c r="K256" s="28" t="s">
        <v>623</v>
      </c>
    </row>
    <row r="257" spans="1:11" ht="14.25" customHeight="1" x14ac:dyDescent="0.25">
      <c r="A257" s="74">
        <v>109</v>
      </c>
      <c r="B257" s="72" t="s">
        <v>624</v>
      </c>
      <c r="C257" s="72" t="s">
        <v>128</v>
      </c>
      <c r="D257" s="72"/>
      <c r="E257" s="76">
        <v>2486</v>
      </c>
      <c r="F257" s="72">
        <v>4</v>
      </c>
      <c r="G257" s="72" t="s">
        <v>625</v>
      </c>
      <c r="H257" s="72" t="s">
        <v>626</v>
      </c>
      <c r="I257" s="72" t="s">
        <v>262</v>
      </c>
      <c r="J257" s="72" t="s">
        <v>627</v>
      </c>
      <c r="K257" s="25" t="str">
        <f>"00053592"</f>
        <v>00053592</v>
      </c>
    </row>
    <row r="258" spans="1:11" ht="37.5" customHeight="1" x14ac:dyDescent="0.25">
      <c r="A258" s="75"/>
      <c r="B258" s="73"/>
      <c r="C258" s="73"/>
      <c r="D258" s="73"/>
      <c r="E258" s="77"/>
      <c r="F258" s="73"/>
      <c r="G258" s="73"/>
      <c r="H258" s="73"/>
      <c r="I258" s="73"/>
      <c r="J258" s="73"/>
      <c r="K258" s="28" t="s">
        <v>623</v>
      </c>
    </row>
    <row r="259" spans="1:11" ht="24.75" customHeight="1" x14ac:dyDescent="0.25">
      <c r="A259" s="74">
        <v>109</v>
      </c>
      <c r="B259" s="72" t="s">
        <v>628</v>
      </c>
      <c r="C259" s="72" t="s">
        <v>128</v>
      </c>
      <c r="D259" s="72"/>
      <c r="E259" s="76">
        <v>2552</v>
      </c>
      <c r="F259" s="72">
        <v>4</v>
      </c>
      <c r="G259" s="72" t="s">
        <v>629</v>
      </c>
      <c r="H259" s="72" t="s">
        <v>630</v>
      </c>
      <c r="I259" s="72" t="s">
        <v>166</v>
      </c>
      <c r="J259" s="72" t="s">
        <v>613</v>
      </c>
      <c r="K259" s="25" t="str">
        <f>"00054048"</f>
        <v>00054048</v>
      </c>
    </row>
    <row r="260" spans="1:11" ht="30" customHeight="1" x14ac:dyDescent="0.25">
      <c r="A260" s="75"/>
      <c r="B260" s="73"/>
      <c r="C260" s="73"/>
      <c r="D260" s="73"/>
      <c r="E260" s="77"/>
      <c r="F260" s="73"/>
      <c r="G260" s="73"/>
      <c r="H260" s="73"/>
      <c r="I260" s="73"/>
      <c r="J260" s="73"/>
      <c r="K260" s="27" t="s">
        <v>32</v>
      </c>
    </row>
    <row r="261" spans="1:11" ht="141.75" customHeight="1" x14ac:dyDescent="0.25">
      <c r="A261" s="22">
        <v>109</v>
      </c>
      <c r="B261" s="23" t="s">
        <v>631</v>
      </c>
      <c r="C261" s="23" t="s">
        <v>128</v>
      </c>
      <c r="D261" s="23"/>
      <c r="E261" s="24">
        <v>100000</v>
      </c>
      <c r="F261" s="23">
        <v>4</v>
      </c>
      <c r="G261" s="23" t="s">
        <v>632</v>
      </c>
      <c r="H261" s="23" t="s">
        <v>633</v>
      </c>
      <c r="I261" s="23" t="s">
        <v>142</v>
      </c>
      <c r="J261" s="23" t="s">
        <v>153</v>
      </c>
      <c r="K261" s="25" t="str">
        <f>"00053187"</f>
        <v>00053187</v>
      </c>
    </row>
    <row r="262" spans="1:11" ht="66" customHeight="1" x14ac:dyDescent="0.25">
      <c r="A262" s="22">
        <v>109</v>
      </c>
      <c r="B262" s="23" t="s">
        <v>634</v>
      </c>
      <c r="C262" s="23" t="s">
        <v>128</v>
      </c>
      <c r="D262" s="23"/>
      <c r="E262" s="24">
        <v>100000</v>
      </c>
      <c r="F262" s="23">
        <v>4</v>
      </c>
      <c r="G262" s="23" t="s">
        <v>635</v>
      </c>
      <c r="H262" s="23" t="s">
        <v>636</v>
      </c>
      <c r="I262" s="23" t="s">
        <v>142</v>
      </c>
      <c r="J262" s="23" t="s">
        <v>153</v>
      </c>
      <c r="K262" s="25" t="str">
        <f>"00052923"</f>
        <v>00052923</v>
      </c>
    </row>
    <row r="263" spans="1:11" ht="66.75" customHeight="1" x14ac:dyDescent="0.25">
      <c r="A263" s="22">
        <v>109</v>
      </c>
      <c r="B263" s="23" t="s">
        <v>637</v>
      </c>
      <c r="C263" s="23" t="s">
        <v>128</v>
      </c>
      <c r="D263" s="23"/>
      <c r="E263" s="24">
        <v>20000</v>
      </c>
      <c r="F263" s="23">
        <v>4</v>
      </c>
      <c r="G263" s="23" t="s">
        <v>638</v>
      </c>
      <c r="H263" s="23" t="s">
        <v>639</v>
      </c>
      <c r="I263" s="23" t="s">
        <v>262</v>
      </c>
      <c r="J263" s="23" t="s">
        <v>640</v>
      </c>
      <c r="K263" s="25" t="str">
        <f>"00053727"</f>
        <v>00053727</v>
      </c>
    </row>
    <row r="264" spans="1:11" ht="55.5" customHeight="1" x14ac:dyDescent="0.25">
      <c r="A264" s="22">
        <v>109</v>
      </c>
      <c r="B264" s="23" t="s">
        <v>641</v>
      </c>
      <c r="C264" s="23" t="s">
        <v>128</v>
      </c>
      <c r="D264" s="23"/>
      <c r="E264" s="24">
        <v>111085</v>
      </c>
      <c r="F264" s="23">
        <v>4</v>
      </c>
      <c r="G264" s="23" t="s">
        <v>642</v>
      </c>
      <c r="H264" s="23" t="s">
        <v>463</v>
      </c>
      <c r="I264" s="23" t="s">
        <v>643</v>
      </c>
      <c r="J264" s="23" t="s">
        <v>644</v>
      </c>
      <c r="K264" s="25" t="str">
        <f>"00053072"</f>
        <v>00053072</v>
      </c>
    </row>
    <row r="265" spans="1:11" ht="64.5" customHeight="1" x14ac:dyDescent="0.25">
      <c r="A265" s="22">
        <v>109</v>
      </c>
      <c r="B265" s="23" t="s">
        <v>645</v>
      </c>
      <c r="C265" s="23" t="s">
        <v>128</v>
      </c>
      <c r="D265" s="23"/>
      <c r="E265" s="24">
        <v>47584</v>
      </c>
      <c r="F265" s="23">
        <v>4</v>
      </c>
      <c r="G265" s="23" t="s">
        <v>646</v>
      </c>
      <c r="H265" s="23" t="s">
        <v>647</v>
      </c>
      <c r="I265" s="23" t="s">
        <v>474</v>
      </c>
      <c r="J265" s="23" t="s">
        <v>622</v>
      </c>
      <c r="K265" s="25" t="str">
        <f>"00052888"</f>
        <v>00052888</v>
      </c>
    </row>
    <row r="266" spans="1:11" ht="88.5" customHeight="1" x14ac:dyDescent="0.25">
      <c r="A266" s="22">
        <v>109</v>
      </c>
      <c r="B266" s="23" t="s">
        <v>648</v>
      </c>
      <c r="C266" s="23" t="s">
        <v>128</v>
      </c>
      <c r="D266" s="23"/>
      <c r="E266" s="24">
        <v>112956</v>
      </c>
      <c r="F266" s="23">
        <v>4</v>
      </c>
      <c r="G266" s="23" t="s">
        <v>649</v>
      </c>
      <c r="H266" s="23" t="s">
        <v>650</v>
      </c>
      <c r="I266" s="23" t="s">
        <v>142</v>
      </c>
      <c r="J266" s="23" t="s">
        <v>153</v>
      </c>
      <c r="K266" s="25" t="str">
        <f>"00053584"</f>
        <v>00053584</v>
      </c>
    </row>
    <row r="267" spans="1:11" ht="63" customHeight="1" x14ac:dyDescent="0.25">
      <c r="A267" s="30">
        <v>109</v>
      </c>
      <c r="B267" s="31" t="s">
        <v>648</v>
      </c>
      <c r="C267" s="31" t="s">
        <v>128</v>
      </c>
      <c r="D267" s="31"/>
      <c r="E267" s="32">
        <v>50000</v>
      </c>
      <c r="F267" s="31">
        <v>4</v>
      </c>
      <c r="G267" s="31" t="s">
        <v>651</v>
      </c>
      <c r="H267" s="31" t="s">
        <v>652</v>
      </c>
      <c r="I267" s="31" t="s">
        <v>142</v>
      </c>
      <c r="J267" s="31" t="s">
        <v>153</v>
      </c>
      <c r="K267" s="33" t="str">
        <f>"00053581"</f>
        <v>00053581</v>
      </c>
    </row>
    <row r="268" spans="1:11" ht="14.25" customHeight="1" x14ac:dyDescent="0.25">
      <c r="A268" s="79">
        <v>109</v>
      </c>
      <c r="B268" s="78" t="s">
        <v>653</v>
      </c>
      <c r="C268" s="78" t="s">
        <v>128</v>
      </c>
      <c r="D268" s="78"/>
      <c r="E268" s="80">
        <v>9410</v>
      </c>
      <c r="F268" s="78">
        <v>4</v>
      </c>
      <c r="G268" s="78" t="s">
        <v>654</v>
      </c>
      <c r="H268" s="78" t="s">
        <v>655</v>
      </c>
      <c r="I268" s="78" t="s">
        <v>142</v>
      </c>
      <c r="J268" s="78" t="s">
        <v>498</v>
      </c>
      <c r="K268" s="27" t="str">
        <f>"00053984"</f>
        <v>00053984</v>
      </c>
    </row>
    <row r="269" spans="1:11" ht="53.25" customHeight="1" x14ac:dyDescent="0.25">
      <c r="A269" s="75"/>
      <c r="B269" s="73"/>
      <c r="C269" s="73"/>
      <c r="D269" s="73"/>
      <c r="E269" s="77"/>
      <c r="F269" s="73"/>
      <c r="G269" s="73"/>
      <c r="H269" s="73"/>
      <c r="I269" s="73"/>
      <c r="J269" s="73"/>
      <c r="K269" s="28" t="s">
        <v>562</v>
      </c>
    </row>
    <row r="270" spans="1:11" ht="60.75" customHeight="1" x14ac:dyDescent="0.25">
      <c r="A270" s="22">
        <v>109</v>
      </c>
      <c r="B270" s="23" t="s">
        <v>656</v>
      </c>
      <c r="C270" s="23" t="s">
        <v>128</v>
      </c>
      <c r="D270" s="23"/>
      <c r="E270" s="24">
        <v>28438</v>
      </c>
      <c r="F270" s="23">
        <v>4</v>
      </c>
      <c r="G270" s="23" t="s">
        <v>657</v>
      </c>
      <c r="H270" s="23" t="s">
        <v>658</v>
      </c>
      <c r="I270" s="23" t="s">
        <v>142</v>
      </c>
      <c r="J270" s="23" t="s">
        <v>659</v>
      </c>
      <c r="K270" s="25" t="str">
        <f>"00053314"</f>
        <v>00053314</v>
      </c>
    </row>
    <row r="271" spans="1:11" ht="63.75" customHeight="1" x14ac:dyDescent="0.25">
      <c r="A271" s="74">
        <v>109</v>
      </c>
      <c r="B271" s="72" t="s">
        <v>660</v>
      </c>
      <c r="C271" s="72" t="s">
        <v>128</v>
      </c>
      <c r="D271" s="72"/>
      <c r="E271" s="76">
        <v>70659</v>
      </c>
      <c r="F271" s="72">
        <v>4</v>
      </c>
      <c r="G271" s="72" t="s">
        <v>661</v>
      </c>
      <c r="H271" s="72" t="s">
        <v>662</v>
      </c>
      <c r="I271" s="72" t="s">
        <v>663</v>
      </c>
      <c r="J271" s="72" t="s">
        <v>664</v>
      </c>
      <c r="K271" s="25" t="str">
        <f>"00050380"</f>
        <v>00050380</v>
      </c>
    </row>
    <row r="272" spans="1:11" ht="85.5" customHeight="1" x14ac:dyDescent="0.25">
      <c r="A272" s="75"/>
      <c r="B272" s="73"/>
      <c r="C272" s="73"/>
      <c r="D272" s="73"/>
      <c r="E272" s="77"/>
      <c r="F272" s="73"/>
      <c r="G272" s="73"/>
      <c r="H272" s="73"/>
      <c r="I272" s="73"/>
      <c r="J272" s="73"/>
      <c r="K272" s="28" t="s">
        <v>665</v>
      </c>
    </row>
    <row r="273" spans="1:11" ht="36" customHeight="1" x14ac:dyDescent="0.25">
      <c r="A273" s="74">
        <v>109</v>
      </c>
      <c r="B273" s="72" t="s">
        <v>666</v>
      </c>
      <c r="C273" s="72" t="s">
        <v>128</v>
      </c>
      <c r="D273" s="72"/>
      <c r="E273" s="76">
        <v>1553</v>
      </c>
      <c r="F273" s="72">
        <v>4</v>
      </c>
      <c r="G273" s="72" t="s">
        <v>667</v>
      </c>
      <c r="H273" s="72" t="s">
        <v>668</v>
      </c>
      <c r="I273" s="72" t="s">
        <v>142</v>
      </c>
      <c r="J273" s="72" t="s">
        <v>271</v>
      </c>
      <c r="K273" s="25" t="str">
        <f>"00054438"</f>
        <v>00054438</v>
      </c>
    </row>
    <row r="274" spans="1:11" ht="43.5" customHeight="1" x14ac:dyDescent="0.25">
      <c r="A274" s="75"/>
      <c r="B274" s="73"/>
      <c r="C274" s="73"/>
      <c r="D274" s="73"/>
      <c r="E274" s="77"/>
      <c r="F274" s="73"/>
      <c r="G274" s="73"/>
      <c r="H274" s="73"/>
      <c r="I274" s="73"/>
      <c r="J274" s="73"/>
      <c r="K274" s="28" t="s">
        <v>665</v>
      </c>
    </row>
    <row r="275" spans="1:11" ht="21.75" customHeight="1" x14ac:dyDescent="0.25">
      <c r="A275" s="74">
        <v>109</v>
      </c>
      <c r="B275" s="72" t="s">
        <v>660</v>
      </c>
      <c r="C275" s="72" t="s">
        <v>128</v>
      </c>
      <c r="D275" s="72"/>
      <c r="E275" s="76">
        <v>3579</v>
      </c>
      <c r="F275" s="72">
        <v>4</v>
      </c>
      <c r="G275" s="72" t="s">
        <v>669</v>
      </c>
      <c r="H275" s="72" t="s">
        <v>670</v>
      </c>
      <c r="I275" s="72" t="s">
        <v>142</v>
      </c>
      <c r="J275" s="72" t="s">
        <v>271</v>
      </c>
      <c r="K275" s="25" t="str">
        <f>"00054447"</f>
        <v>00054447</v>
      </c>
    </row>
    <row r="276" spans="1:11" ht="60.75" customHeight="1" x14ac:dyDescent="0.25">
      <c r="A276" s="79"/>
      <c r="B276" s="78"/>
      <c r="C276" s="78"/>
      <c r="D276" s="78"/>
      <c r="E276" s="80"/>
      <c r="F276" s="78"/>
      <c r="G276" s="78"/>
      <c r="H276" s="78"/>
      <c r="I276" s="78"/>
      <c r="J276" s="78"/>
      <c r="K276" s="27" t="s">
        <v>671</v>
      </c>
    </row>
    <row r="277" spans="1:11" ht="42.75" customHeight="1" x14ac:dyDescent="0.25">
      <c r="A277" s="75"/>
      <c r="B277" s="73"/>
      <c r="C277" s="73"/>
      <c r="D277" s="73"/>
      <c r="E277" s="77"/>
      <c r="F277" s="73"/>
      <c r="G277" s="73"/>
      <c r="H277" s="73"/>
      <c r="I277" s="73"/>
      <c r="J277" s="73"/>
      <c r="K277" s="28" t="s">
        <v>665</v>
      </c>
    </row>
    <row r="278" spans="1:11" ht="28.5" customHeight="1" x14ac:dyDescent="0.25">
      <c r="A278" s="74">
        <v>109</v>
      </c>
      <c r="B278" s="72" t="s">
        <v>672</v>
      </c>
      <c r="C278" s="72" t="s">
        <v>128</v>
      </c>
      <c r="D278" s="72"/>
      <c r="E278" s="76">
        <v>8282</v>
      </c>
      <c r="F278" s="72">
        <v>4</v>
      </c>
      <c r="G278" s="72" t="s">
        <v>673</v>
      </c>
      <c r="H278" s="72" t="s">
        <v>674</v>
      </c>
      <c r="I278" s="72" t="s">
        <v>142</v>
      </c>
      <c r="J278" s="72" t="s">
        <v>153</v>
      </c>
      <c r="K278" s="25" t="str">
        <f>"00054072"</f>
        <v>00054072</v>
      </c>
    </row>
    <row r="279" spans="1:11" ht="48" customHeight="1" x14ac:dyDescent="0.25">
      <c r="A279" s="75"/>
      <c r="B279" s="73"/>
      <c r="C279" s="73"/>
      <c r="D279" s="73"/>
      <c r="E279" s="77"/>
      <c r="F279" s="73"/>
      <c r="G279" s="73"/>
      <c r="H279" s="73"/>
      <c r="I279" s="73"/>
      <c r="J279" s="73"/>
      <c r="K279" s="28" t="s">
        <v>177</v>
      </c>
    </row>
    <row r="280" spans="1:11" ht="89.25" customHeight="1" x14ac:dyDescent="0.25">
      <c r="A280" s="22">
        <v>109</v>
      </c>
      <c r="B280" s="23" t="s">
        <v>675</v>
      </c>
      <c r="C280" s="23" t="s">
        <v>128</v>
      </c>
      <c r="D280" s="23"/>
      <c r="E280" s="24">
        <v>120000</v>
      </c>
      <c r="F280" s="23">
        <v>4</v>
      </c>
      <c r="G280" s="23" t="s">
        <v>676</v>
      </c>
      <c r="H280" s="23" t="s">
        <v>677</v>
      </c>
      <c r="I280" s="23" t="s">
        <v>142</v>
      </c>
      <c r="J280" s="23" t="s">
        <v>271</v>
      </c>
      <c r="K280" s="25" t="str">
        <f>"00053261"</f>
        <v>00053261</v>
      </c>
    </row>
    <row r="281" spans="1:11" ht="30" customHeight="1" x14ac:dyDescent="0.25">
      <c r="A281" s="74">
        <v>109</v>
      </c>
      <c r="B281" s="72" t="s">
        <v>678</v>
      </c>
      <c r="C281" s="72" t="s">
        <v>128</v>
      </c>
      <c r="D281" s="72"/>
      <c r="E281" s="76">
        <v>7020</v>
      </c>
      <c r="F281" s="72">
        <v>4</v>
      </c>
      <c r="G281" s="72" t="s">
        <v>679</v>
      </c>
      <c r="H281" s="72" t="s">
        <v>674</v>
      </c>
      <c r="I281" s="72" t="s">
        <v>142</v>
      </c>
      <c r="J281" s="72" t="s">
        <v>153</v>
      </c>
      <c r="K281" s="25" t="str">
        <f>"00054064"</f>
        <v>00054064</v>
      </c>
    </row>
    <row r="282" spans="1:11" ht="48" customHeight="1" x14ac:dyDescent="0.25">
      <c r="A282" s="75"/>
      <c r="B282" s="73"/>
      <c r="C282" s="73"/>
      <c r="D282" s="73"/>
      <c r="E282" s="77"/>
      <c r="F282" s="73"/>
      <c r="G282" s="73"/>
      <c r="H282" s="73"/>
      <c r="I282" s="73"/>
      <c r="J282" s="73"/>
      <c r="K282" s="28" t="s">
        <v>177</v>
      </c>
    </row>
    <row r="283" spans="1:11" ht="28.5" customHeight="1" x14ac:dyDescent="0.25">
      <c r="A283" s="74">
        <v>109</v>
      </c>
      <c r="B283" s="72" t="s">
        <v>680</v>
      </c>
      <c r="C283" s="72" t="s">
        <v>128</v>
      </c>
      <c r="D283" s="72"/>
      <c r="E283" s="76">
        <v>10100</v>
      </c>
      <c r="F283" s="72">
        <v>4</v>
      </c>
      <c r="G283" s="72" t="s">
        <v>681</v>
      </c>
      <c r="H283" s="72" t="s">
        <v>682</v>
      </c>
      <c r="I283" s="72" t="s">
        <v>142</v>
      </c>
      <c r="J283" s="72" t="s">
        <v>683</v>
      </c>
      <c r="K283" s="25" t="str">
        <f>"00053856"</f>
        <v>00053856</v>
      </c>
    </row>
    <row r="284" spans="1:11" ht="28.5" customHeight="1" x14ac:dyDescent="0.25">
      <c r="A284" s="75"/>
      <c r="B284" s="73"/>
      <c r="C284" s="73"/>
      <c r="D284" s="73"/>
      <c r="E284" s="77"/>
      <c r="F284" s="73"/>
      <c r="G284" s="73"/>
      <c r="H284" s="73"/>
      <c r="I284" s="73"/>
      <c r="J284" s="73"/>
      <c r="K284" s="27" t="s">
        <v>32</v>
      </c>
    </row>
    <row r="285" spans="1:11" ht="18.75" customHeight="1" x14ac:dyDescent="0.25">
      <c r="A285" s="74">
        <v>109</v>
      </c>
      <c r="B285" s="72" t="s">
        <v>684</v>
      </c>
      <c r="C285" s="72" t="s">
        <v>128</v>
      </c>
      <c r="D285" s="72"/>
      <c r="E285" s="76">
        <v>2416</v>
      </c>
      <c r="F285" s="72">
        <v>4</v>
      </c>
      <c r="G285" s="72" t="s">
        <v>685</v>
      </c>
      <c r="H285" s="72" t="s">
        <v>686</v>
      </c>
      <c r="I285" s="72" t="s">
        <v>142</v>
      </c>
      <c r="J285" s="72" t="s">
        <v>391</v>
      </c>
      <c r="K285" s="25" t="str">
        <f>"00054187"</f>
        <v>00054187</v>
      </c>
    </row>
    <row r="286" spans="1:11" ht="48" customHeight="1" x14ac:dyDescent="0.25">
      <c r="A286" s="75"/>
      <c r="B286" s="73"/>
      <c r="C286" s="73"/>
      <c r="D286" s="73"/>
      <c r="E286" s="77"/>
      <c r="F286" s="73"/>
      <c r="G286" s="73"/>
      <c r="H286" s="73"/>
      <c r="I286" s="73"/>
      <c r="J286" s="73"/>
      <c r="K286" s="28" t="s">
        <v>177</v>
      </c>
    </row>
    <row r="287" spans="1:11" ht="18.75" customHeight="1" x14ac:dyDescent="0.25">
      <c r="A287" s="74">
        <v>109</v>
      </c>
      <c r="B287" s="72" t="s">
        <v>678</v>
      </c>
      <c r="C287" s="72" t="s">
        <v>128</v>
      </c>
      <c r="D287" s="72"/>
      <c r="E287" s="76">
        <v>2325</v>
      </c>
      <c r="F287" s="72">
        <v>4</v>
      </c>
      <c r="G287" s="72" t="s">
        <v>679</v>
      </c>
      <c r="H287" s="72" t="s">
        <v>674</v>
      </c>
      <c r="I287" s="72" t="s">
        <v>142</v>
      </c>
      <c r="J287" s="72" t="s">
        <v>153</v>
      </c>
      <c r="K287" s="25" t="str">
        <f>"00054173"</f>
        <v>00054173</v>
      </c>
    </row>
    <row r="288" spans="1:11" ht="42" customHeight="1" x14ac:dyDescent="0.25">
      <c r="A288" s="75"/>
      <c r="B288" s="73"/>
      <c r="C288" s="73"/>
      <c r="D288" s="73"/>
      <c r="E288" s="77"/>
      <c r="F288" s="73"/>
      <c r="G288" s="73"/>
      <c r="H288" s="73"/>
      <c r="I288" s="73"/>
      <c r="J288" s="73"/>
      <c r="K288" s="28" t="s">
        <v>177</v>
      </c>
    </row>
    <row r="289" spans="1:11" ht="18.75" customHeight="1" x14ac:dyDescent="0.25">
      <c r="A289" s="74">
        <v>109</v>
      </c>
      <c r="B289" s="72" t="s">
        <v>672</v>
      </c>
      <c r="C289" s="72" t="s">
        <v>128</v>
      </c>
      <c r="D289" s="72"/>
      <c r="E289" s="76">
        <v>8319</v>
      </c>
      <c r="F289" s="72">
        <v>4</v>
      </c>
      <c r="G289" s="72" t="s">
        <v>687</v>
      </c>
      <c r="H289" s="72" t="s">
        <v>674</v>
      </c>
      <c r="I289" s="72" t="s">
        <v>142</v>
      </c>
      <c r="J289" s="72" t="s">
        <v>153</v>
      </c>
      <c r="K289" s="25" t="str">
        <f>"00054074"</f>
        <v>00054074</v>
      </c>
    </row>
    <row r="290" spans="1:11" ht="42" customHeight="1" x14ac:dyDescent="0.25">
      <c r="A290" s="75"/>
      <c r="B290" s="73"/>
      <c r="C290" s="73"/>
      <c r="D290" s="73"/>
      <c r="E290" s="77"/>
      <c r="F290" s="73"/>
      <c r="G290" s="73"/>
      <c r="H290" s="73"/>
      <c r="I290" s="73"/>
      <c r="J290" s="73"/>
      <c r="K290" s="28" t="s">
        <v>177</v>
      </c>
    </row>
    <row r="291" spans="1:11" ht="18.75" customHeight="1" x14ac:dyDescent="0.25">
      <c r="A291" s="74">
        <v>109</v>
      </c>
      <c r="B291" s="72" t="s">
        <v>678</v>
      </c>
      <c r="C291" s="72" t="s">
        <v>128</v>
      </c>
      <c r="D291" s="72"/>
      <c r="E291" s="76">
        <v>3083</v>
      </c>
      <c r="F291" s="72">
        <v>4</v>
      </c>
      <c r="G291" s="72" t="s">
        <v>679</v>
      </c>
      <c r="H291" s="72" t="s">
        <v>674</v>
      </c>
      <c r="I291" s="72" t="s">
        <v>142</v>
      </c>
      <c r="J291" s="72" t="s">
        <v>153</v>
      </c>
      <c r="K291" s="25" t="str">
        <f>"00054141"</f>
        <v>00054141</v>
      </c>
    </row>
    <row r="292" spans="1:11" ht="42" customHeight="1" x14ac:dyDescent="0.25">
      <c r="A292" s="75"/>
      <c r="B292" s="73"/>
      <c r="C292" s="73"/>
      <c r="D292" s="73"/>
      <c r="E292" s="77"/>
      <c r="F292" s="73"/>
      <c r="G292" s="73"/>
      <c r="H292" s="73"/>
      <c r="I292" s="73"/>
      <c r="J292" s="73"/>
      <c r="K292" s="28" t="s">
        <v>177</v>
      </c>
    </row>
    <row r="293" spans="1:11" ht="18.75" customHeight="1" x14ac:dyDescent="0.25">
      <c r="A293" s="74">
        <v>109</v>
      </c>
      <c r="B293" s="72" t="s">
        <v>678</v>
      </c>
      <c r="C293" s="72" t="s">
        <v>128</v>
      </c>
      <c r="D293" s="72"/>
      <c r="E293" s="76">
        <v>4652</v>
      </c>
      <c r="F293" s="72">
        <v>4</v>
      </c>
      <c r="G293" s="72" t="s">
        <v>679</v>
      </c>
      <c r="H293" s="72" t="s">
        <v>674</v>
      </c>
      <c r="I293" s="72" t="s">
        <v>142</v>
      </c>
      <c r="J293" s="72" t="s">
        <v>153</v>
      </c>
      <c r="K293" s="25" t="str">
        <f>"00054113"</f>
        <v>00054113</v>
      </c>
    </row>
    <row r="294" spans="1:11" ht="44.25" customHeight="1" x14ac:dyDescent="0.25">
      <c r="A294" s="75"/>
      <c r="B294" s="73"/>
      <c r="C294" s="73"/>
      <c r="D294" s="73"/>
      <c r="E294" s="77"/>
      <c r="F294" s="73"/>
      <c r="G294" s="73"/>
      <c r="H294" s="73"/>
      <c r="I294" s="73"/>
      <c r="J294" s="73"/>
      <c r="K294" s="28" t="s">
        <v>177</v>
      </c>
    </row>
    <row r="295" spans="1:11" ht="50.25" customHeight="1" x14ac:dyDescent="0.25">
      <c r="A295" s="74">
        <v>109</v>
      </c>
      <c r="B295" s="72" t="s">
        <v>688</v>
      </c>
      <c r="C295" s="72" t="s">
        <v>128</v>
      </c>
      <c r="D295" s="72"/>
      <c r="E295" s="76">
        <v>9746</v>
      </c>
      <c r="F295" s="72">
        <v>4</v>
      </c>
      <c r="G295" s="72" t="s">
        <v>689</v>
      </c>
      <c r="H295" s="72" t="s">
        <v>690</v>
      </c>
      <c r="I295" s="72" t="s">
        <v>142</v>
      </c>
      <c r="J295" s="72" t="s">
        <v>391</v>
      </c>
      <c r="K295" s="25" t="str">
        <f>"00052382"</f>
        <v>00052382</v>
      </c>
    </row>
    <row r="296" spans="1:11" ht="51.75" customHeight="1" x14ac:dyDescent="0.25">
      <c r="A296" s="75"/>
      <c r="B296" s="73"/>
      <c r="C296" s="73"/>
      <c r="D296" s="73"/>
      <c r="E296" s="77"/>
      <c r="F296" s="73"/>
      <c r="G296" s="73"/>
      <c r="H296" s="73"/>
      <c r="I296" s="73"/>
      <c r="J296" s="73"/>
      <c r="K296" s="28" t="s">
        <v>177</v>
      </c>
    </row>
    <row r="297" spans="1:11" ht="92.25" customHeight="1" x14ac:dyDescent="0.25">
      <c r="A297" s="22">
        <v>109</v>
      </c>
      <c r="B297" s="23" t="s">
        <v>691</v>
      </c>
      <c r="C297" s="23" t="s">
        <v>128</v>
      </c>
      <c r="D297" s="23"/>
      <c r="E297" s="24">
        <v>6342</v>
      </c>
      <c r="F297" s="23">
        <v>4</v>
      </c>
      <c r="G297" s="23" t="s">
        <v>692</v>
      </c>
      <c r="H297" s="23" t="s">
        <v>693</v>
      </c>
      <c r="I297" s="23" t="s">
        <v>532</v>
      </c>
      <c r="J297" s="23" t="s">
        <v>694</v>
      </c>
      <c r="K297" s="25" t="str">
        <f>"00053701"</f>
        <v>00053701</v>
      </c>
    </row>
    <row r="298" spans="1:11" ht="25.5" customHeight="1" x14ac:dyDescent="0.25">
      <c r="A298" s="74">
        <v>109</v>
      </c>
      <c r="B298" s="72" t="s">
        <v>695</v>
      </c>
      <c r="C298" s="72" t="s">
        <v>128</v>
      </c>
      <c r="D298" s="72"/>
      <c r="E298" s="76">
        <v>20914</v>
      </c>
      <c r="F298" s="72">
        <v>4</v>
      </c>
      <c r="G298" s="72" t="s">
        <v>696</v>
      </c>
      <c r="H298" s="72" t="s">
        <v>697</v>
      </c>
      <c r="I298" s="72" t="s">
        <v>349</v>
      </c>
      <c r="J298" s="72" t="s">
        <v>698</v>
      </c>
      <c r="K298" s="25" t="str">
        <f>"00054045"</f>
        <v>00054045</v>
      </c>
    </row>
    <row r="299" spans="1:11" ht="39.75" customHeight="1" x14ac:dyDescent="0.25">
      <c r="A299" s="75"/>
      <c r="B299" s="73"/>
      <c r="C299" s="73"/>
      <c r="D299" s="73"/>
      <c r="E299" s="77"/>
      <c r="F299" s="73"/>
      <c r="G299" s="73"/>
      <c r="H299" s="73"/>
      <c r="I299" s="73"/>
      <c r="J299" s="73"/>
      <c r="K299" s="28" t="s">
        <v>376</v>
      </c>
    </row>
    <row r="300" spans="1:11" ht="30" customHeight="1" x14ac:dyDescent="0.25">
      <c r="A300" s="74">
        <v>109</v>
      </c>
      <c r="B300" s="72" t="s">
        <v>699</v>
      </c>
      <c r="C300" s="72" t="s">
        <v>128</v>
      </c>
      <c r="D300" s="72"/>
      <c r="E300" s="76">
        <v>69800</v>
      </c>
      <c r="F300" s="72">
        <v>4</v>
      </c>
      <c r="G300" s="72" t="s">
        <v>700</v>
      </c>
      <c r="H300" s="72" t="s">
        <v>701</v>
      </c>
      <c r="I300" s="72" t="s">
        <v>142</v>
      </c>
      <c r="J300" s="72" t="s">
        <v>391</v>
      </c>
      <c r="K300" s="25" t="str">
        <f>"00053730"</f>
        <v>00053730</v>
      </c>
    </row>
    <row r="301" spans="1:11" ht="30" customHeight="1" x14ac:dyDescent="0.25">
      <c r="A301" s="75"/>
      <c r="B301" s="73"/>
      <c r="C301" s="73"/>
      <c r="D301" s="73"/>
      <c r="E301" s="77"/>
      <c r="F301" s="73"/>
      <c r="G301" s="73"/>
      <c r="H301" s="73"/>
      <c r="I301" s="73"/>
      <c r="J301" s="73"/>
      <c r="K301" s="27" t="s">
        <v>32</v>
      </c>
    </row>
    <row r="302" spans="1:11" ht="30" customHeight="1" x14ac:dyDescent="0.25">
      <c r="A302" s="74">
        <v>109</v>
      </c>
      <c r="B302" s="72" t="s">
        <v>699</v>
      </c>
      <c r="C302" s="72" t="s">
        <v>128</v>
      </c>
      <c r="D302" s="72"/>
      <c r="E302" s="76">
        <v>59914</v>
      </c>
      <c r="F302" s="72">
        <v>4</v>
      </c>
      <c r="G302" s="72" t="s">
        <v>700</v>
      </c>
      <c r="H302" s="72" t="s">
        <v>701</v>
      </c>
      <c r="I302" s="72" t="s">
        <v>142</v>
      </c>
      <c r="J302" s="72" t="s">
        <v>391</v>
      </c>
      <c r="K302" s="25" t="str">
        <f>"00053575"</f>
        <v>00053575</v>
      </c>
    </row>
    <row r="303" spans="1:11" ht="30" customHeight="1" x14ac:dyDescent="0.25">
      <c r="A303" s="75"/>
      <c r="B303" s="73"/>
      <c r="C303" s="73"/>
      <c r="D303" s="73"/>
      <c r="E303" s="77"/>
      <c r="F303" s="73"/>
      <c r="G303" s="73"/>
      <c r="H303" s="73"/>
      <c r="I303" s="73"/>
      <c r="J303" s="73"/>
      <c r="K303" s="27" t="s">
        <v>32</v>
      </c>
    </row>
    <row r="304" spans="1:11" ht="38.25" customHeight="1" x14ac:dyDescent="0.25">
      <c r="A304" s="74">
        <v>109</v>
      </c>
      <c r="B304" s="72" t="s">
        <v>702</v>
      </c>
      <c r="C304" s="72" t="s">
        <v>128</v>
      </c>
      <c r="D304" s="72"/>
      <c r="E304" s="76">
        <v>24323</v>
      </c>
      <c r="F304" s="72">
        <v>4</v>
      </c>
      <c r="G304" s="72" t="s">
        <v>703</v>
      </c>
      <c r="H304" s="72" t="s">
        <v>385</v>
      </c>
      <c r="I304" s="72" t="s">
        <v>386</v>
      </c>
      <c r="J304" s="72" t="s">
        <v>387</v>
      </c>
      <c r="K304" s="25" t="str">
        <f>"00054271"</f>
        <v>00054271</v>
      </c>
    </row>
    <row r="305" spans="1:11" ht="38.25" customHeight="1" x14ac:dyDescent="0.25">
      <c r="A305" s="75"/>
      <c r="B305" s="73"/>
      <c r="C305" s="73"/>
      <c r="D305" s="73"/>
      <c r="E305" s="77"/>
      <c r="F305" s="73"/>
      <c r="G305" s="73"/>
      <c r="H305" s="73"/>
      <c r="I305" s="73"/>
      <c r="J305" s="73"/>
      <c r="K305" s="28" t="s">
        <v>376</v>
      </c>
    </row>
    <row r="306" spans="1:11" ht="30.75" customHeight="1" x14ac:dyDescent="0.25">
      <c r="A306" s="74">
        <v>109</v>
      </c>
      <c r="B306" s="72" t="s">
        <v>704</v>
      </c>
      <c r="C306" s="72" t="s">
        <v>128</v>
      </c>
      <c r="D306" s="72"/>
      <c r="E306" s="76">
        <v>44582</v>
      </c>
      <c r="F306" s="72">
        <v>4</v>
      </c>
      <c r="G306" s="72" t="s">
        <v>705</v>
      </c>
      <c r="H306" s="72" t="s">
        <v>706</v>
      </c>
      <c r="I306" s="72" t="s">
        <v>707</v>
      </c>
      <c r="J306" s="72" t="s">
        <v>708</v>
      </c>
      <c r="K306" s="25" t="str">
        <f>"00054174"</f>
        <v>00054174</v>
      </c>
    </row>
    <row r="307" spans="1:11" ht="30.75" customHeight="1" x14ac:dyDescent="0.25">
      <c r="A307" s="75"/>
      <c r="B307" s="73"/>
      <c r="C307" s="73"/>
      <c r="D307" s="73"/>
      <c r="E307" s="77"/>
      <c r="F307" s="73"/>
      <c r="G307" s="73"/>
      <c r="H307" s="73"/>
      <c r="I307" s="73"/>
      <c r="J307" s="73"/>
      <c r="K307" s="28" t="s">
        <v>376</v>
      </c>
    </row>
    <row r="308" spans="1:11" ht="30.75" customHeight="1" x14ac:dyDescent="0.25">
      <c r="A308" s="74">
        <v>109</v>
      </c>
      <c r="B308" s="72" t="s">
        <v>709</v>
      </c>
      <c r="C308" s="72" t="s">
        <v>128</v>
      </c>
      <c r="D308" s="72"/>
      <c r="E308" s="76">
        <v>6776</v>
      </c>
      <c r="F308" s="72">
        <v>4</v>
      </c>
      <c r="G308" s="72" t="s">
        <v>710</v>
      </c>
      <c r="H308" s="72" t="s">
        <v>711</v>
      </c>
      <c r="I308" s="72" t="s">
        <v>142</v>
      </c>
      <c r="J308" s="72" t="s">
        <v>712</v>
      </c>
      <c r="K308" s="25" t="str">
        <f>"00054371"</f>
        <v>00054371</v>
      </c>
    </row>
    <row r="309" spans="1:11" ht="36.75" customHeight="1" x14ac:dyDescent="0.25">
      <c r="A309" s="86"/>
      <c r="B309" s="85"/>
      <c r="C309" s="85"/>
      <c r="D309" s="85"/>
      <c r="E309" s="87"/>
      <c r="F309" s="85"/>
      <c r="G309" s="85"/>
      <c r="H309" s="85"/>
      <c r="I309" s="85"/>
      <c r="J309" s="85"/>
      <c r="K309" s="34" t="s">
        <v>32</v>
      </c>
    </row>
    <row r="310" spans="1:11" ht="30.75" customHeight="1" x14ac:dyDescent="0.25">
      <c r="A310" s="79">
        <v>109</v>
      </c>
      <c r="B310" s="78" t="s">
        <v>713</v>
      </c>
      <c r="C310" s="78" t="s">
        <v>128</v>
      </c>
      <c r="D310" s="78"/>
      <c r="E310" s="78">
        <v>858</v>
      </c>
      <c r="F310" s="78">
        <v>4</v>
      </c>
      <c r="G310" s="78" t="s">
        <v>714</v>
      </c>
      <c r="H310" s="78" t="s">
        <v>715</v>
      </c>
      <c r="I310" s="78" t="s">
        <v>134</v>
      </c>
      <c r="J310" s="78" t="s">
        <v>135</v>
      </c>
      <c r="K310" s="27" t="str">
        <f>"00054463"</f>
        <v>00054463</v>
      </c>
    </row>
    <row r="311" spans="1:11" ht="21" customHeight="1" x14ac:dyDescent="0.25">
      <c r="A311" s="75"/>
      <c r="B311" s="73"/>
      <c r="C311" s="73"/>
      <c r="D311" s="73"/>
      <c r="E311" s="73"/>
      <c r="F311" s="73"/>
      <c r="G311" s="73"/>
      <c r="H311" s="73"/>
      <c r="I311" s="73"/>
      <c r="J311" s="73"/>
      <c r="K311" s="27" t="s">
        <v>32</v>
      </c>
    </row>
    <row r="312" spans="1:11" ht="38.25" customHeight="1" x14ac:dyDescent="0.25">
      <c r="A312" s="74">
        <v>109</v>
      </c>
      <c r="B312" s="72" t="s">
        <v>716</v>
      </c>
      <c r="C312" s="72" t="s">
        <v>128</v>
      </c>
      <c r="D312" s="72"/>
      <c r="E312" s="76">
        <v>16000</v>
      </c>
      <c r="F312" s="72">
        <v>4</v>
      </c>
      <c r="G312" s="72" t="s">
        <v>717</v>
      </c>
      <c r="H312" s="72" t="s">
        <v>718</v>
      </c>
      <c r="I312" s="72" t="s">
        <v>166</v>
      </c>
      <c r="J312" s="72" t="s">
        <v>719</v>
      </c>
      <c r="K312" s="25" t="str">
        <f>"00054439"</f>
        <v>00054439</v>
      </c>
    </row>
    <row r="313" spans="1:11" ht="57.75" customHeight="1" x14ac:dyDescent="0.25">
      <c r="A313" s="75"/>
      <c r="B313" s="73"/>
      <c r="C313" s="73"/>
      <c r="D313" s="73"/>
      <c r="E313" s="77"/>
      <c r="F313" s="73"/>
      <c r="G313" s="73"/>
      <c r="H313" s="73"/>
      <c r="I313" s="73"/>
      <c r="J313" s="73"/>
      <c r="K313" s="28" t="s">
        <v>376</v>
      </c>
    </row>
    <row r="314" spans="1:11" ht="32.25" customHeight="1" x14ac:dyDescent="0.25">
      <c r="A314" s="74">
        <v>109</v>
      </c>
      <c r="B314" s="72" t="s">
        <v>713</v>
      </c>
      <c r="C314" s="72" t="s">
        <v>128</v>
      </c>
      <c r="D314" s="72"/>
      <c r="E314" s="76">
        <v>14200</v>
      </c>
      <c r="F314" s="72">
        <v>4</v>
      </c>
      <c r="G314" s="72" t="s">
        <v>720</v>
      </c>
      <c r="H314" s="72" t="s">
        <v>721</v>
      </c>
      <c r="I314" s="72" t="s">
        <v>722</v>
      </c>
      <c r="J314" s="72" t="s">
        <v>723</v>
      </c>
      <c r="K314" s="25" t="str">
        <f>"00054421"</f>
        <v>00054421</v>
      </c>
    </row>
    <row r="315" spans="1:11" ht="32.25" customHeight="1" x14ac:dyDescent="0.25">
      <c r="A315" s="75"/>
      <c r="B315" s="73"/>
      <c r="C315" s="73"/>
      <c r="D315" s="73"/>
      <c r="E315" s="77"/>
      <c r="F315" s="73"/>
      <c r="G315" s="73"/>
      <c r="H315" s="73"/>
      <c r="I315" s="73"/>
      <c r="J315" s="73"/>
      <c r="K315" s="27" t="s">
        <v>32</v>
      </c>
    </row>
    <row r="316" spans="1:11" ht="32.25" customHeight="1" x14ac:dyDescent="0.25">
      <c r="A316" s="74">
        <v>109</v>
      </c>
      <c r="B316" s="72" t="s">
        <v>713</v>
      </c>
      <c r="C316" s="72" t="s">
        <v>128</v>
      </c>
      <c r="D316" s="72"/>
      <c r="E316" s="76">
        <v>23564</v>
      </c>
      <c r="F316" s="72">
        <v>4</v>
      </c>
      <c r="G316" s="72" t="s">
        <v>724</v>
      </c>
      <c r="H316" s="72" t="s">
        <v>385</v>
      </c>
      <c r="I316" s="72" t="s">
        <v>386</v>
      </c>
      <c r="J316" s="72" t="s">
        <v>387</v>
      </c>
      <c r="K316" s="25" t="str">
        <f>"00054296"</f>
        <v>00054296</v>
      </c>
    </row>
    <row r="317" spans="1:11" ht="38.25" customHeight="1" x14ac:dyDescent="0.25">
      <c r="A317" s="75"/>
      <c r="B317" s="73"/>
      <c r="C317" s="73"/>
      <c r="D317" s="73"/>
      <c r="E317" s="77"/>
      <c r="F317" s="73"/>
      <c r="G317" s="73"/>
      <c r="H317" s="73"/>
      <c r="I317" s="73"/>
      <c r="J317" s="73"/>
      <c r="K317" s="34" t="s">
        <v>32</v>
      </c>
    </row>
    <row r="318" spans="1:11" ht="32.25" customHeight="1" x14ac:dyDescent="0.25">
      <c r="A318" s="74">
        <v>109</v>
      </c>
      <c r="B318" s="72" t="s">
        <v>725</v>
      </c>
      <c r="C318" s="72" t="s">
        <v>128</v>
      </c>
      <c r="D318" s="72"/>
      <c r="E318" s="76">
        <v>4340</v>
      </c>
      <c r="F318" s="72">
        <v>4</v>
      </c>
      <c r="G318" s="72" t="s">
        <v>726</v>
      </c>
      <c r="H318" s="72" t="s">
        <v>718</v>
      </c>
      <c r="I318" s="72" t="s">
        <v>439</v>
      </c>
      <c r="J318" s="72" t="s">
        <v>460</v>
      </c>
      <c r="K318" s="27" t="str">
        <f>"00054424"</f>
        <v>00054424</v>
      </c>
    </row>
    <row r="319" spans="1:11" ht="27.75" customHeight="1" x14ac:dyDescent="0.25">
      <c r="A319" s="75"/>
      <c r="B319" s="73"/>
      <c r="C319" s="73"/>
      <c r="D319" s="73"/>
      <c r="E319" s="77"/>
      <c r="F319" s="73"/>
      <c r="G319" s="73"/>
      <c r="H319" s="73"/>
      <c r="I319" s="73"/>
      <c r="J319" s="73"/>
      <c r="K319" s="27" t="s">
        <v>32</v>
      </c>
    </row>
    <row r="320" spans="1:11" ht="14.25" customHeight="1" x14ac:dyDescent="0.25">
      <c r="A320" s="74">
        <v>109</v>
      </c>
      <c r="B320" s="72" t="s">
        <v>727</v>
      </c>
      <c r="C320" s="72" t="s">
        <v>128</v>
      </c>
      <c r="D320" s="72"/>
      <c r="E320" s="76">
        <v>3757</v>
      </c>
      <c r="F320" s="72">
        <v>4</v>
      </c>
      <c r="G320" s="72" t="s">
        <v>728</v>
      </c>
      <c r="H320" s="72" t="s">
        <v>729</v>
      </c>
      <c r="I320" s="72" t="s">
        <v>142</v>
      </c>
      <c r="J320" s="72" t="s">
        <v>712</v>
      </c>
      <c r="K320" s="25" t="str">
        <f>"00054344"</f>
        <v>00054344</v>
      </c>
    </row>
    <row r="321" spans="1:11" ht="36" customHeight="1" x14ac:dyDescent="0.25">
      <c r="A321" s="75"/>
      <c r="B321" s="73"/>
      <c r="C321" s="73"/>
      <c r="D321" s="73"/>
      <c r="E321" s="77"/>
      <c r="F321" s="73"/>
      <c r="G321" s="73"/>
      <c r="H321" s="73"/>
      <c r="I321" s="73"/>
      <c r="J321" s="73"/>
      <c r="K321" s="28" t="s">
        <v>730</v>
      </c>
    </row>
    <row r="322" spans="1:11" ht="36" customHeight="1" x14ac:dyDescent="0.25">
      <c r="A322" s="74">
        <v>109</v>
      </c>
      <c r="B322" s="72" t="s">
        <v>731</v>
      </c>
      <c r="C322" s="72" t="s">
        <v>128</v>
      </c>
      <c r="D322" s="72"/>
      <c r="E322" s="76">
        <v>22417</v>
      </c>
      <c r="F322" s="72">
        <v>4</v>
      </c>
      <c r="G322" s="72" t="s">
        <v>732</v>
      </c>
      <c r="H322" s="72" t="s">
        <v>733</v>
      </c>
      <c r="I322" s="72" t="s">
        <v>142</v>
      </c>
      <c r="J322" s="72" t="s">
        <v>153</v>
      </c>
      <c r="K322" s="25" t="str">
        <f>"00053901"</f>
        <v>00053901</v>
      </c>
    </row>
    <row r="323" spans="1:11" ht="49.5" customHeight="1" x14ac:dyDescent="0.25">
      <c r="A323" s="75"/>
      <c r="B323" s="73"/>
      <c r="C323" s="73"/>
      <c r="D323" s="73"/>
      <c r="E323" s="77"/>
      <c r="F323" s="73"/>
      <c r="G323" s="73"/>
      <c r="H323" s="73"/>
      <c r="I323" s="73"/>
      <c r="J323" s="73"/>
      <c r="K323" s="28" t="s">
        <v>734</v>
      </c>
    </row>
    <row r="324" spans="1:11" ht="14.25" customHeight="1" x14ac:dyDescent="0.25">
      <c r="A324" s="74">
        <v>109</v>
      </c>
      <c r="B324" s="72" t="s">
        <v>731</v>
      </c>
      <c r="C324" s="72" t="s">
        <v>128</v>
      </c>
      <c r="D324" s="72"/>
      <c r="E324" s="76">
        <v>28380</v>
      </c>
      <c r="F324" s="72">
        <v>4</v>
      </c>
      <c r="G324" s="72" t="s">
        <v>735</v>
      </c>
      <c r="H324" s="72" t="s">
        <v>733</v>
      </c>
      <c r="I324" s="72" t="s">
        <v>142</v>
      </c>
      <c r="J324" s="72" t="s">
        <v>153</v>
      </c>
      <c r="K324" s="25" t="str">
        <f>"00053940"</f>
        <v>00053940</v>
      </c>
    </row>
    <row r="325" spans="1:11" ht="49.5" customHeight="1" x14ac:dyDescent="0.25">
      <c r="A325" s="75"/>
      <c r="B325" s="73"/>
      <c r="C325" s="73"/>
      <c r="D325" s="73"/>
      <c r="E325" s="77"/>
      <c r="F325" s="73"/>
      <c r="G325" s="73"/>
      <c r="H325" s="73"/>
      <c r="I325" s="73"/>
      <c r="J325" s="73"/>
      <c r="K325" s="28" t="s">
        <v>734</v>
      </c>
    </row>
    <row r="326" spans="1:11" ht="14.25" customHeight="1" x14ac:dyDescent="0.25">
      <c r="A326" s="74">
        <v>109</v>
      </c>
      <c r="B326" s="72" t="s">
        <v>731</v>
      </c>
      <c r="C326" s="72" t="s">
        <v>128</v>
      </c>
      <c r="D326" s="72"/>
      <c r="E326" s="76">
        <v>34301</v>
      </c>
      <c r="F326" s="72">
        <v>4</v>
      </c>
      <c r="G326" s="72" t="s">
        <v>736</v>
      </c>
      <c r="H326" s="72" t="s">
        <v>733</v>
      </c>
      <c r="I326" s="72" t="s">
        <v>142</v>
      </c>
      <c r="J326" s="72" t="s">
        <v>153</v>
      </c>
      <c r="K326" s="25" t="str">
        <f>"00053880"</f>
        <v>00053880</v>
      </c>
    </row>
    <row r="327" spans="1:11" ht="49.5" customHeight="1" x14ac:dyDescent="0.25">
      <c r="A327" s="75"/>
      <c r="B327" s="73"/>
      <c r="C327" s="73"/>
      <c r="D327" s="73"/>
      <c r="E327" s="77"/>
      <c r="F327" s="73"/>
      <c r="G327" s="73"/>
      <c r="H327" s="73"/>
      <c r="I327" s="73"/>
      <c r="J327" s="73"/>
      <c r="K327" s="28" t="s">
        <v>734</v>
      </c>
    </row>
    <row r="328" spans="1:11" ht="32.25" customHeight="1" x14ac:dyDescent="0.25">
      <c r="A328" s="74">
        <v>108</v>
      </c>
      <c r="B328" s="72" t="s">
        <v>737</v>
      </c>
      <c r="C328" s="72" t="s">
        <v>128</v>
      </c>
      <c r="D328" s="72"/>
      <c r="E328" s="76">
        <v>-4700</v>
      </c>
      <c r="F328" s="72">
        <v>4</v>
      </c>
      <c r="G328" s="72" t="s">
        <v>738</v>
      </c>
      <c r="H328" s="72" t="s">
        <v>739</v>
      </c>
      <c r="I328" s="72" t="s">
        <v>566</v>
      </c>
      <c r="J328" s="72" t="s">
        <v>740</v>
      </c>
      <c r="K328" s="25" t="str">
        <f>"00050156"</f>
        <v>00050156</v>
      </c>
    </row>
    <row r="329" spans="1:11" ht="32.25" customHeight="1" x14ac:dyDescent="0.25">
      <c r="A329" s="75"/>
      <c r="B329" s="73"/>
      <c r="C329" s="73"/>
      <c r="D329" s="73"/>
      <c r="E329" s="77"/>
      <c r="F329" s="73"/>
      <c r="G329" s="73"/>
      <c r="H329" s="73"/>
      <c r="I329" s="73"/>
      <c r="J329" s="73"/>
      <c r="K329" s="27" t="s">
        <v>741</v>
      </c>
    </row>
    <row r="330" spans="1:11" ht="32.25" customHeight="1" x14ac:dyDescent="0.25">
      <c r="A330" s="74">
        <v>108</v>
      </c>
      <c r="B330" s="72" t="s">
        <v>737</v>
      </c>
      <c r="C330" s="72" t="s">
        <v>128</v>
      </c>
      <c r="D330" s="72"/>
      <c r="E330" s="76">
        <v>-4700</v>
      </c>
      <c r="F330" s="72">
        <v>4</v>
      </c>
      <c r="G330" s="72" t="s">
        <v>742</v>
      </c>
      <c r="H330" s="72" t="s">
        <v>739</v>
      </c>
      <c r="I330" s="72" t="s">
        <v>566</v>
      </c>
      <c r="J330" s="72" t="s">
        <v>740</v>
      </c>
      <c r="K330" s="45" t="s">
        <v>743</v>
      </c>
    </row>
    <row r="331" spans="1:11" ht="32.25" customHeight="1" x14ac:dyDescent="0.25">
      <c r="A331" s="75"/>
      <c r="B331" s="73"/>
      <c r="C331" s="73"/>
      <c r="D331" s="73"/>
      <c r="E331" s="77"/>
      <c r="F331" s="73"/>
      <c r="G331" s="73"/>
      <c r="H331" s="73"/>
      <c r="I331" s="73"/>
      <c r="J331" s="73"/>
      <c r="K331" s="27" t="s">
        <v>741</v>
      </c>
    </row>
    <row r="332" spans="1:11" ht="32.25" customHeight="1" x14ac:dyDescent="0.25">
      <c r="A332" s="74">
        <v>108</v>
      </c>
      <c r="B332" s="72" t="s">
        <v>744</v>
      </c>
      <c r="C332" s="72" t="s">
        <v>128</v>
      </c>
      <c r="D332" s="72"/>
      <c r="E332" s="76">
        <v>-14406</v>
      </c>
      <c r="F332" s="72">
        <v>4</v>
      </c>
      <c r="G332" s="72" t="s">
        <v>745</v>
      </c>
      <c r="H332" s="72" t="s">
        <v>746</v>
      </c>
      <c r="I332" s="72" t="s">
        <v>175</v>
      </c>
      <c r="J332" s="72" t="s">
        <v>176</v>
      </c>
      <c r="K332" s="25" t="str">
        <f>"00053158"</f>
        <v>00053158</v>
      </c>
    </row>
    <row r="333" spans="1:11" ht="32.25" customHeight="1" x14ac:dyDescent="0.25">
      <c r="A333" s="75"/>
      <c r="B333" s="73"/>
      <c r="C333" s="73"/>
      <c r="D333" s="73"/>
      <c r="E333" s="77"/>
      <c r="F333" s="73"/>
      <c r="G333" s="73"/>
      <c r="H333" s="73"/>
      <c r="I333" s="73"/>
      <c r="J333" s="73"/>
      <c r="K333" s="46" t="s">
        <v>747</v>
      </c>
    </row>
    <row r="334" spans="1:11" ht="14.25" customHeight="1" x14ac:dyDescent="0.25">
      <c r="A334" s="74">
        <v>108</v>
      </c>
      <c r="B334" s="72" t="s">
        <v>748</v>
      </c>
      <c r="C334" s="72" t="s">
        <v>128</v>
      </c>
      <c r="D334" s="72"/>
      <c r="E334" s="76">
        <v>-9000</v>
      </c>
      <c r="F334" s="72">
        <v>4</v>
      </c>
      <c r="G334" s="72" t="s">
        <v>749</v>
      </c>
      <c r="H334" s="72" t="s">
        <v>750</v>
      </c>
      <c r="I334" s="72" t="s">
        <v>751</v>
      </c>
      <c r="J334" s="72" t="s">
        <v>752</v>
      </c>
      <c r="K334" s="25"/>
    </row>
    <row r="335" spans="1:11" ht="42.75" x14ac:dyDescent="0.25">
      <c r="A335" s="75"/>
      <c r="B335" s="73"/>
      <c r="C335" s="73"/>
      <c r="D335" s="73"/>
      <c r="E335" s="77"/>
      <c r="F335" s="73"/>
      <c r="G335" s="73"/>
      <c r="H335" s="73"/>
      <c r="I335" s="73"/>
      <c r="J335" s="73"/>
      <c r="K335" s="46" t="s">
        <v>753</v>
      </c>
    </row>
    <row r="336" spans="1:11" ht="36" customHeight="1" x14ac:dyDescent="0.25">
      <c r="A336" s="74">
        <v>108</v>
      </c>
      <c r="B336" s="72" t="s">
        <v>754</v>
      </c>
      <c r="C336" s="72" t="s">
        <v>128</v>
      </c>
      <c r="D336" s="72"/>
      <c r="E336" s="76">
        <v>-154</v>
      </c>
      <c r="F336" s="72">
        <v>4</v>
      </c>
      <c r="G336" s="72" t="s">
        <v>755</v>
      </c>
      <c r="H336" s="72" t="s">
        <v>756</v>
      </c>
      <c r="I336" s="72" t="s">
        <v>142</v>
      </c>
      <c r="J336" s="72" t="s">
        <v>712</v>
      </c>
      <c r="K336" s="25" t="str">
        <f>"0005295"</f>
        <v>0005295</v>
      </c>
    </row>
    <row r="337" spans="1:11" ht="36" customHeight="1" x14ac:dyDescent="0.25">
      <c r="A337" s="75"/>
      <c r="B337" s="73"/>
      <c r="C337" s="73"/>
      <c r="D337" s="73"/>
      <c r="E337" s="77"/>
      <c r="F337" s="73"/>
      <c r="G337" s="73"/>
      <c r="H337" s="73"/>
      <c r="I337" s="73"/>
      <c r="J337" s="73"/>
      <c r="K337" s="47" t="s">
        <v>757</v>
      </c>
    </row>
    <row r="338" spans="1:11" ht="23.25" customHeight="1" x14ac:dyDescent="0.25">
      <c r="A338" s="74">
        <v>108</v>
      </c>
      <c r="B338" s="72" t="s">
        <v>758</v>
      </c>
      <c r="C338" s="72" t="s">
        <v>128</v>
      </c>
      <c r="D338" s="72"/>
      <c r="E338" s="76">
        <v>-464</v>
      </c>
      <c r="F338" s="72">
        <v>4</v>
      </c>
      <c r="G338" s="72" t="s">
        <v>759</v>
      </c>
      <c r="H338" s="72" t="s">
        <v>760</v>
      </c>
      <c r="I338" s="72" t="s">
        <v>142</v>
      </c>
      <c r="J338" s="72" t="s">
        <v>712</v>
      </c>
      <c r="K338" s="25" t="str">
        <f>"00048545"</f>
        <v>00048545</v>
      </c>
    </row>
    <row r="339" spans="1:11" ht="42" customHeight="1" x14ac:dyDescent="0.25">
      <c r="A339" s="75"/>
      <c r="B339" s="73"/>
      <c r="C339" s="73"/>
      <c r="D339" s="73"/>
      <c r="E339" s="77"/>
      <c r="F339" s="73"/>
      <c r="G339" s="73"/>
      <c r="H339" s="73"/>
      <c r="I339" s="73"/>
      <c r="J339" s="73"/>
      <c r="K339" s="46" t="s">
        <v>761</v>
      </c>
    </row>
    <row r="340" spans="1:11" ht="20.25" customHeight="1" x14ac:dyDescent="0.25">
      <c r="A340" s="74">
        <v>106</v>
      </c>
      <c r="B340" s="72" t="s">
        <v>762</v>
      </c>
      <c r="C340" s="72" t="s">
        <v>128</v>
      </c>
      <c r="D340" s="72"/>
      <c r="E340" s="76">
        <v>-5760</v>
      </c>
      <c r="F340" s="72">
        <v>4</v>
      </c>
      <c r="G340" s="72" t="s">
        <v>763</v>
      </c>
      <c r="H340" s="72" t="s">
        <v>764</v>
      </c>
      <c r="I340" s="72" t="s">
        <v>142</v>
      </c>
      <c r="J340" s="72" t="s">
        <v>765</v>
      </c>
      <c r="K340" s="25" t="str">
        <f>"00036306"</f>
        <v>00036306</v>
      </c>
    </row>
    <row r="341" spans="1:11" ht="36" customHeight="1" x14ac:dyDescent="0.25">
      <c r="A341" s="75"/>
      <c r="B341" s="73"/>
      <c r="C341" s="73"/>
      <c r="D341" s="73"/>
      <c r="E341" s="77"/>
      <c r="F341" s="73"/>
      <c r="G341" s="73"/>
      <c r="H341" s="73"/>
      <c r="I341" s="73"/>
      <c r="J341" s="73"/>
      <c r="K341" s="28" t="s">
        <v>766</v>
      </c>
    </row>
    <row r="342" spans="1:11" ht="21.75" customHeight="1" x14ac:dyDescent="0.25">
      <c r="A342" s="74">
        <v>107</v>
      </c>
      <c r="B342" s="72" t="s">
        <v>767</v>
      </c>
      <c r="C342" s="72" t="s">
        <v>128</v>
      </c>
      <c r="D342" s="72"/>
      <c r="E342" s="76">
        <v>-1433</v>
      </c>
      <c r="F342" s="72">
        <v>4</v>
      </c>
      <c r="G342" s="72" t="s">
        <v>768</v>
      </c>
      <c r="H342" s="72" t="s">
        <v>769</v>
      </c>
      <c r="I342" s="72" t="s">
        <v>380</v>
      </c>
      <c r="J342" s="72" t="s">
        <v>770</v>
      </c>
      <c r="K342" s="25" t="str">
        <f>"00043324"</f>
        <v>00043324</v>
      </c>
    </row>
    <row r="343" spans="1:11" ht="39" customHeight="1" x14ac:dyDescent="0.25">
      <c r="A343" s="79"/>
      <c r="B343" s="78"/>
      <c r="C343" s="78"/>
      <c r="D343" s="78"/>
      <c r="E343" s="80"/>
      <c r="F343" s="78"/>
      <c r="G343" s="78"/>
      <c r="H343" s="78"/>
      <c r="I343" s="78"/>
      <c r="J343" s="78"/>
      <c r="K343" s="48" t="s">
        <v>771</v>
      </c>
    </row>
    <row r="344" spans="1:11" ht="39.75" customHeight="1" x14ac:dyDescent="0.25">
      <c r="A344" s="18">
        <v>109</v>
      </c>
      <c r="B344" s="19" t="s">
        <v>127</v>
      </c>
      <c r="C344" s="19" t="s">
        <v>128</v>
      </c>
      <c r="D344" s="20">
        <v>1229000</v>
      </c>
      <c r="E344" s="19"/>
      <c r="F344" s="19">
        <v>4</v>
      </c>
      <c r="G344" s="19" t="s">
        <v>772</v>
      </c>
      <c r="H344" s="19"/>
      <c r="I344" s="19" t="s">
        <v>130</v>
      </c>
      <c r="J344" s="19"/>
      <c r="K344" s="29" t="s">
        <v>20</v>
      </c>
    </row>
    <row r="345" spans="1:11" ht="32.1" customHeight="1" x14ac:dyDescent="0.25">
      <c r="A345" s="18">
        <v>109</v>
      </c>
      <c r="B345" s="19" t="s">
        <v>127</v>
      </c>
      <c r="C345" s="19" t="s">
        <v>128</v>
      </c>
      <c r="D345" s="20">
        <v>400000</v>
      </c>
      <c r="E345" s="19"/>
      <c r="F345" s="19">
        <v>4</v>
      </c>
      <c r="G345" s="19" t="s">
        <v>773</v>
      </c>
      <c r="H345" s="19"/>
      <c r="I345" s="19" t="s">
        <v>130</v>
      </c>
      <c r="J345" s="19"/>
      <c r="K345" s="21" t="str">
        <f>"　"</f>
        <v>　</v>
      </c>
    </row>
    <row r="346" spans="1:11" ht="57" customHeight="1" x14ac:dyDescent="0.25">
      <c r="A346" s="22">
        <v>109</v>
      </c>
      <c r="B346" s="23" t="s">
        <v>774</v>
      </c>
      <c r="C346" s="23" t="s">
        <v>128</v>
      </c>
      <c r="D346" s="23"/>
      <c r="E346" s="24">
        <v>90000</v>
      </c>
      <c r="F346" s="23">
        <v>4</v>
      </c>
      <c r="G346" s="23" t="s">
        <v>775</v>
      </c>
      <c r="H346" s="23" t="s">
        <v>776</v>
      </c>
      <c r="I346" s="23" t="s">
        <v>142</v>
      </c>
      <c r="J346" s="23" t="s">
        <v>777</v>
      </c>
      <c r="K346" s="25" t="str">
        <f>"00053670"</f>
        <v>00053670</v>
      </c>
    </row>
    <row r="347" spans="1:11" ht="35.1" customHeight="1" x14ac:dyDescent="0.25">
      <c r="A347" s="18">
        <v>109</v>
      </c>
      <c r="B347" s="19" t="s">
        <v>127</v>
      </c>
      <c r="C347" s="19" t="s">
        <v>128</v>
      </c>
      <c r="D347" s="20">
        <v>635000</v>
      </c>
      <c r="E347" s="19"/>
      <c r="F347" s="19">
        <v>4</v>
      </c>
      <c r="G347" s="19" t="s">
        <v>778</v>
      </c>
      <c r="H347" s="19"/>
      <c r="I347" s="19" t="s">
        <v>130</v>
      </c>
      <c r="J347" s="19"/>
      <c r="K347" s="29" t="s">
        <v>20</v>
      </c>
    </row>
    <row r="348" spans="1:11" ht="35.1" customHeight="1" x14ac:dyDescent="0.25">
      <c r="A348" s="18">
        <v>109</v>
      </c>
      <c r="B348" s="19" t="s">
        <v>127</v>
      </c>
      <c r="C348" s="19" t="s">
        <v>128</v>
      </c>
      <c r="D348" s="20">
        <v>1200000</v>
      </c>
      <c r="E348" s="19"/>
      <c r="F348" s="19">
        <v>4</v>
      </c>
      <c r="G348" s="19" t="s">
        <v>146</v>
      </c>
      <c r="H348" s="19"/>
      <c r="I348" s="19" t="s">
        <v>147</v>
      </c>
      <c r="J348" s="19"/>
      <c r="K348" s="29" t="s">
        <v>20</v>
      </c>
    </row>
    <row r="349" spans="1:11" ht="32.1" customHeight="1" x14ac:dyDescent="0.25">
      <c r="A349" s="18">
        <v>109</v>
      </c>
      <c r="B349" s="19" t="s">
        <v>127</v>
      </c>
      <c r="C349" s="19" t="s">
        <v>128</v>
      </c>
      <c r="D349" s="20">
        <v>490000</v>
      </c>
      <c r="E349" s="19"/>
      <c r="F349" s="19">
        <v>4</v>
      </c>
      <c r="G349" s="19" t="s">
        <v>779</v>
      </c>
      <c r="H349" s="19"/>
      <c r="I349" s="19" t="s">
        <v>147</v>
      </c>
      <c r="J349" s="19"/>
      <c r="K349" s="21" t="str">
        <f>"　"</f>
        <v>　</v>
      </c>
    </row>
    <row r="350" spans="1:11" ht="79.5" customHeight="1" x14ac:dyDescent="0.25">
      <c r="A350" s="22">
        <v>109</v>
      </c>
      <c r="B350" s="23" t="s">
        <v>780</v>
      </c>
      <c r="C350" s="23" t="s">
        <v>128</v>
      </c>
      <c r="D350" s="23"/>
      <c r="E350" s="24">
        <v>40000</v>
      </c>
      <c r="F350" s="23">
        <v>4</v>
      </c>
      <c r="G350" s="23" t="s">
        <v>781</v>
      </c>
      <c r="H350" s="23" t="s">
        <v>782</v>
      </c>
      <c r="I350" s="23" t="s">
        <v>142</v>
      </c>
      <c r="J350" s="23" t="s">
        <v>783</v>
      </c>
      <c r="K350" s="25" t="str">
        <f>"00053907"</f>
        <v>00053907</v>
      </c>
    </row>
    <row r="351" spans="1:11" ht="79.5" customHeight="1" x14ac:dyDescent="0.25">
      <c r="A351" s="22">
        <v>109</v>
      </c>
      <c r="B351" s="23" t="s">
        <v>780</v>
      </c>
      <c r="C351" s="23" t="s">
        <v>128</v>
      </c>
      <c r="D351" s="23"/>
      <c r="E351" s="24">
        <v>103113</v>
      </c>
      <c r="F351" s="23">
        <v>4</v>
      </c>
      <c r="G351" s="23" t="s">
        <v>781</v>
      </c>
      <c r="H351" s="23" t="s">
        <v>782</v>
      </c>
      <c r="I351" s="23" t="s">
        <v>142</v>
      </c>
      <c r="J351" s="23" t="s">
        <v>783</v>
      </c>
      <c r="K351" s="25" t="str">
        <f>"00053899"</f>
        <v>00053899</v>
      </c>
    </row>
    <row r="352" spans="1:11" ht="32.1" customHeight="1" x14ac:dyDescent="0.25">
      <c r="A352" s="18">
        <v>109</v>
      </c>
      <c r="B352" s="19" t="s">
        <v>148</v>
      </c>
      <c r="C352" s="19" t="s">
        <v>128</v>
      </c>
      <c r="D352" s="20">
        <v>1000000</v>
      </c>
      <c r="E352" s="19"/>
      <c r="F352" s="19">
        <v>4</v>
      </c>
      <c r="G352" s="19" t="s">
        <v>784</v>
      </c>
      <c r="H352" s="19"/>
      <c r="I352" s="19" t="s">
        <v>785</v>
      </c>
      <c r="J352" s="19"/>
      <c r="K352" s="21" t="str">
        <f>"　"</f>
        <v>　</v>
      </c>
    </row>
    <row r="353" spans="1:11" ht="35.1" customHeight="1" x14ac:dyDescent="0.25">
      <c r="A353" s="18">
        <v>109</v>
      </c>
      <c r="B353" s="19" t="s">
        <v>148</v>
      </c>
      <c r="C353" s="19" t="s">
        <v>128</v>
      </c>
      <c r="D353" s="20">
        <v>215000</v>
      </c>
      <c r="E353" s="19"/>
      <c r="F353" s="19">
        <v>4</v>
      </c>
      <c r="G353" s="19" t="s">
        <v>155</v>
      </c>
      <c r="H353" s="19"/>
      <c r="I353" s="19" t="s">
        <v>130</v>
      </c>
      <c r="J353" s="19"/>
      <c r="K353" s="29" t="s">
        <v>20</v>
      </c>
    </row>
    <row r="354" spans="1:11" ht="35.1" customHeight="1" x14ac:dyDescent="0.25">
      <c r="A354" s="18">
        <v>109</v>
      </c>
      <c r="B354" s="19" t="s">
        <v>148</v>
      </c>
      <c r="C354" s="19" t="s">
        <v>128</v>
      </c>
      <c r="D354" s="20">
        <v>580000</v>
      </c>
      <c r="E354" s="19"/>
      <c r="F354" s="19">
        <v>4</v>
      </c>
      <c r="G354" s="19" t="s">
        <v>155</v>
      </c>
      <c r="H354" s="19"/>
      <c r="I354" s="19" t="s">
        <v>130</v>
      </c>
      <c r="J354" s="19"/>
      <c r="K354" s="29" t="s">
        <v>20</v>
      </c>
    </row>
    <row r="355" spans="1:11" ht="35.1" customHeight="1" x14ac:dyDescent="0.25">
      <c r="A355" s="18">
        <v>109</v>
      </c>
      <c r="B355" s="19" t="s">
        <v>148</v>
      </c>
      <c r="C355" s="19" t="s">
        <v>128</v>
      </c>
      <c r="D355" s="20">
        <v>200000</v>
      </c>
      <c r="E355" s="19"/>
      <c r="F355" s="19">
        <v>4</v>
      </c>
      <c r="G355" s="19" t="s">
        <v>156</v>
      </c>
      <c r="H355" s="19"/>
      <c r="I355" s="19" t="s">
        <v>157</v>
      </c>
      <c r="J355" s="19"/>
      <c r="K355" s="29" t="s">
        <v>20</v>
      </c>
    </row>
    <row r="356" spans="1:11" ht="35.1" customHeight="1" x14ac:dyDescent="0.25">
      <c r="A356" s="18">
        <v>109</v>
      </c>
      <c r="B356" s="19" t="s">
        <v>148</v>
      </c>
      <c r="C356" s="19" t="s">
        <v>128</v>
      </c>
      <c r="D356" s="20">
        <v>200000</v>
      </c>
      <c r="E356" s="19"/>
      <c r="F356" s="19">
        <v>4</v>
      </c>
      <c r="G356" s="19" t="s">
        <v>156</v>
      </c>
      <c r="H356" s="19"/>
      <c r="I356" s="19" t="s">
        <v>159</v>
      </c>
      <c r="J356" s="19"/>
      <c r="K356" s="29" t="s">
        <v>20</v>
      </c>
    </row>
    <row r="357" spans="1:11" ht="32.1" customHeight="1" x14ac:dyDescent="0.25">
      <c r="A357" s="18">
        <v>109</v>
      </c>
      <c r="B357" s="19" t="s">
        <v>148</v>
      </c>
      <c r="C357" s="19" t="s">
        <v>128</v>
      </c>
      <c r="D357" s="20">
        <v>1250000</v>
      </c>
      <c r="E357" s="19"/>
      <c r="F357" s="19">
        <v>4</v>
      </c>
      <c r="G357" s="19" t="s">
        <v>160</v>
      </c>
      <c r="H357" s="19"/>
      <c r="I357" s="19" t="s">
        <v>130</v>
      </c>
      <c r="J357" s="19"/>
      <c r="K357" s="21" t="str">
        <f>"　"</f>
        <v>　</v>
      </c>
    </row>
    <row r="358" spans="1:11" ht="14.25" customHeight="1" x14ac:dyDescent="0.25">
      <c r="A358" s="74">
        <v>109</v>
      </c>
      <c r="B358" s="72" t="s">
        <v>786</v>
      </c>
      <c r="C358" s="72" t="s">
        <v>128</v>
      </c>
      <c r="D358" s="72"/>
      <c r="E358" s="76">
        <v>5024</v>
      </c>
      <c r="F358" s="72">
        <v>4</v>
      </c>
      <c r="G358" s="72" t="s">
        <v>787</v>
      </c>
      <c r="H358" s="72" t="s">
        <v>788</v>
      </c>
      <c r="I358" s="72" t="s">
        <v>142</v>
      </c>
      <c r="J358" s="72" t="s">
        <v>153</v>
      </c>
      <c r="K358" s="25" t="str">
        <f>"00054453"</f>
        <v>00054453</v>
      </c>
    </row>
    <row r="359" spans="1:11" ht="43.5" customHeight="1" x14ac:dyDescent="0.25">
      <c r="A359" s="75"/>
      <c r="B359" s="73"/>
      <c r="C359" s="73"/>
      <c r="D359" s="73"/>
      <c r="E359" s="77"/>
      <c r="F359" s="73"/>
      <c r="G359" s="73"/>
      <c r="H359" s="73"/>
      <c r="I359" s="73"/>
      <c r="J359" s="73"/>
      <c r="K359" s="28" t="s">
        <v>177</v>
      </c>
    </row>
    <row r="360" spans="1:11" s="17" customFormat="1" x14ac:dyDescent="0.25">
      <c r="A360" s="69" t="s">
        <v>789</v>
      </c>
      <c r="B360" s="70"/>
      <c r="C360" s="15"/>
      <c r="D360" s="15"/>
      <c r="E360" s="15"/>
      <c r="F360" s="15"/>
      <c r="G360" s="15"/>
      <c r="H360" s="15"/>
      <c r="I360" s="15"/>
      <c r="J360" s="15"/>
      <c r="K360" s="16"/>
    </row>
    <row r="361" spans="1:11" ht="27.75" customHeight="1" x14ac:dyDescent="0.25">
      <c r="A361" s="18">
        <v>109</v>
      </c>
      <c r="B361" s="19" t="s">
        <v>127</v>
      </c>
      <c r="C361" s="19" t="s">
        <v>128</v>
      </c>
      <c r="D361" s="20">
        <v>1000000</v>
      </c>
      <c r="E361" s="19"/>
      <c r="F361" s="19">
        <v>3</v>
      </c>
      <c r="G361" s="19" t="s">
        <v>790</v>
      </c>
      <c r="H361" s="19"/>
      <c r="I361" s="19" t="s">
        <v>791</v>
      </c>
      <c r="J361" s="19"/>
      <c r="K361" s="21" t="str">
        <f>"　"</f>
        <v>　</v>
      </c>
    </row>
    <row r="362" spans="1:11" ht="37.5" customHeight="1" x14ac:dyDescent="0.25">
      <c r="A362" s="22">
        <v>109</v>
      </c>
      <c r="B362" s="23" t="s">
        <v>792</v>
      </c>
      <c r="C362" s="23" t="s">
        <v>128</v>
      </c>
      <c r="D362" s="23"/>
      <c r="E362" s="24">
        <v>43864</v>
      </c>
      <c r="F362" s="23">
        <v>3</v>
      </c>
      <c r="G362" s="23" t="s">
        <v>793</v>
      </c>
      <c r="H362" s="23" t="s">
        <v>794</v>
      </c>
      <c r="I362" s="23" t="s">
        <v>166</v>
      </c>
      <c r="J362" s="23" t="s">
        <v>795</v>
      </c>
      <c r="K362" s="25" t="str">
        <f>"00053555"</f>
        <v>00053555</v>
      </c>
    </row>
    <row r="363" spans="1:11" ht="56.25" customHeight="1" x14ac:dyDescent="0.25">
      <c r="A363" s="22">
        <v>109</v>
      </c>
      <c r="B363" s="23" t="s">
        <v>586</v>
      </c>
      <c r="C363" s="23" t="s">
        <v>128</v>
      </c>
      <c r="D363" s="23"/>
      <c r="E363" s="24">
        <v>59351</v>
      </c>
      <c r="F363" s="23">
        <v>3</v>
      </c>
      <c r="G363" s="23" t="s">
        <v>796</v>
      </c>
      <c r="H363" s="23" t="s">
        <v>797</v>
      </c>
      <c r="I363" s="23" t="s">
        <v>142</v>
      </c>
      <c r="J363" s="23" t="s">
        <v>798</v>
      </c>
      <c r="K363" s="25" t="str">
        <f>"00053421"</f>
        <v>00053421</v>
      </c>
    </row>
    <row r="364" spans="1:11" ht="56.25" customHeight="1" x14ac:dyDescent="0.25">
      <c r="A364" s="22">
        <v>109</v>
      </c>
      <c r="B364" s="23" t="s">
        <v>571</v>
      </c>
      <c r="C364" s="23" t="s">
        <v>128</v>
      </c>
      <c r="D364" s="23"/>
      <c r="E364" s="24">
        <v>167924</v>
      </c>
      <c r="F364" s="23">
        <v>3</v>
      </c>
      <c r="G364" s="23" t="s">
        <v>799</v>
      </c>
      <c r="H364" s="23" t="s">
        <v>800</v>
      </c>
      <c r="I364" s="23" t="s">
        <v>142</v>
      </c>
      <c r="J364" s="23" t="s">
        <v>391</v>
      </c>
      <c r="K364" s="25" t="str">
        <f>"00053571"</f>
        <v>00053571</v>
      </c>
    </row>
    <row r="365" spans="1:11" ht="95.25" customHeight="1" x14ac:dyDescent="0.25">
      <c r="A365" s="22">
        <v>109</v>
      </c>
      <c r="B365" s="23" t="s">
        <v>801</v>
      </c>
      <c r="C365" s="23" t="s">
        <v>128</v>
      </c>
      <c r="D365" s="23"/>
      <c r="E365" s="24">
        <v>105204</v>
      </c>
      <c r="F365" s="23">
        <v>3</v>
      </c>
      <c r="G365" s="23" t="s">
        <v>802</v>
      </c>
      <c r="H365" s="23" t="s">
        <v>803</v>
      </c>
      <c r="I365" s="23" t="s">
        <v>804</v>
      </c>
      <c r="J365" s="23" t="s">
        <v>805</v>
      </c>
      <c r="K365" s="25" t="str">
        <f>"00053679"</f>
        <v>00053679</v>
      </c>
    </row>
    <row r="366" spans="1:11" ht="53.25" customHeight="1" x14ac:dyDescent="0.25">
      <c r="A366" s="22">
        <v>109</v>
      </c>
      <c r="B366" s="23" t="s">
        <v>806</v>
      </c>
      <c r="C366" s="23" t="s">
        <v>128</v>
      </c>
      <c r="D366" s="23"/>
      <c r="E366" s="24">
        <v>161347</v>
      </c>
      <c r="F366" s="23">
        <v>3</v>
      </c>
      <c r="G366" s="23" t="s">
        <v>807</v>
      </c>
      <c r="H366" s="23" t="s">
        <v>808</v>
      </c>
      <c r="I366" s="23" t="s">
        <v>166</v>
      </c>
      <c r="J366" s="23" t="s">
        <v>181</v>
      </c>
      <c r="K366" s="25" t="str">
        <f>"00052963"</f>
        <v>00052963</v>
      </c>
    </row>
    <row r="367" spans="1:11" ht="59.25" customHeight="1" x14ac:dyDescent="0.25">
      <c r="A367" s="22">
        <v>109</v>
      </c>
      <c r="B367" s="23" t="s">
        <v>727</v>
      </c>
      <c r="C367" s="23" t="s">
        <v>128</v>
      </c>
      <c r="D367" s="23"/>
      <c r="E367" s="24">
        <v>148555</v>
      </c>
      <c r="F367" s="23">
        <v>3</v>
      </c>
      <c r="G367" s="23" t="s">
        <v>809</v>
      </c>
      <c r="H367" s="23" t="s">
        <v>810</v>
      </c>
      <c r="I367" s="23" t="s">
        <v>197</v>
      </c>
      <c r="J367" s="23" t="s">
        <v>197</v>
      </c>
      <c r="K367" s="25" t="str">
        <f>"00053509"</f>
        <v>00053509</v>
      </c>
    </row>
    <row r="368" spans="1:11" ht="32.1" customHeight="1" x14ac:dyDescent="0.25">
      <c r="A368" s="18">
        <v>109</v>
      </c>
      <c r="B368" s="19" t="s">
        <v>127</v>
      </c>
      <c r="C368" s="19" t="s">
        <v>128</v>
      </c>
      <c r="D368" s="20">
        <v>348000</v>
      </c>
      <c r="E368" s="19"/>
      <c r="F368" s="19">
        <v>3</v>
      </c>
      <c r="G368" s="19" t="s">
        <v>772</v>
      </c>
      <c r="H368" s="19"/>
      <c r="I368" s="19" t="s">
        <v>130</v>
      </c>
      <c r="J368" s="19"/>
      <c r="K368" s="21" t="str">
        <f>"　"</f>
        <v>　</v>
      </c>
    </row>
    <row r="369" spans="1:11" ht="57.75" customHeight="1" x14ac:dyDescent="0.25">
      <c r="A369" s="22">
        <v>109</v>
      </c>
      <c r="B369" s="23" t="s">
        <v>811</v>
      </c>
      <c r="C369" s="23" t="s">
        <v>128</v>
      </c>
      <c r="D369" s="23"/>
      <c r="E369" s="24">
        <v>177779</v>
      </c>
      <c r="F369" s="23">
        <v>3</v>
      </c>
      <c r="G369" s="23" t="s">
        <v>812</v>
      </c>
      <c r="H369" s="23" t="s">
        <v>813</v>
      </c>
      <c r="I369" s="23" t="s">
        <v>142</v>
      </c>
      <c r="J369" s="23" t="s">
        <v>783</v>
      </c>
      <c r="K369" s="25" t="str">
        <f>"00053923"</f>
        <v>00053923</v>
      </c>
    </row>
    <row r="370" spans="1:11" ht="32.1" customHeight="1" x14ac:dyDescent="0.25">
      <c r="A370" s="18">
        <v>109</v>
      </c>
      <c r="B370" s="19" t="s">
        <v>127</v>
      </c>
      <c r="C370" s="19" t="s">
        <v>128</v>
      </c>
      <c r="D370" s="20">
        <v>200000</v>
      </c>
      <c r="E370" s="19"/>
      <c r="F370" s="19">
        <v>3</v>
      </c>
      <c r="G370" s="19" t="s">
        <v>814</v>
      </c>
      <c r="H370" s="19"/>
      <c r="I370" s="19" t="s">
        <v>130</v>
      </c>
      <c r="J370" s="19"/>
      <c r="K370" s="21" t="str">
        <f>"　"</f>
        <v>　</v>
      </c>
    </row>
    <row r="371" spans="1:11" ht="35.1" customHeight="1" x14ac:dyDescent="0.25">
      <c r="A371" s="18">
        <v>109</v>
      </c>
      <c r="B371" s="19" t="s">
        <v>127</v>
      </c>
      <c r="C371" s="19" t="s">
        <v>128</v>
      </c>
      <c r="D371" s="20">
        <v>315000</v>
      </c>
      <c r="E371" s="19"/>
      <c r="F371" s="19">
        <v>3</v>
      </c>
      <c r="G371" s="19" t="s">
        <v>778</v>
      </c>
      <c r="H371" s="19"/>
      <c r="I371" s="19" t="s">
        <v>130</v>
      </c>
      <c r="J371" s="19"/>
      <c r="K371" s="29" t="s">
        <v>20</v>
      </c>
    </row>
    <row r="372" spans="1:11" ht="35.1" customHeight="1" x14ac:dyDescent="0.25">
      <c r="A372" s="18">
        <v>109</v>
      </c>
      <c r="B372" s="19" t="s">
        <v>127</v>
      </c>
      <c r="C372" s="19" t="s">
        <v>128</v>
      </c>
      <c r="D372" s="20">
        <v>400000</v>
      </c>
      <c r="E372" s="19"/>
      <c r="F372" s="19">
        <v>3</v>
      </c>
      <c r="G372" s="19" t="s">
        <v>146</v>
      </c>
      <c r="H372" s="19"/>
      <c r="I372" s="19" t="s">
        <v>147</v>
      </c>
      <c r="J372" s="19"/>
      <c r="K372" s="29" t="s">
        <v>20</v>
      </c>
    </row>
    <row r="373" spans="1:11" ht="35.1" customHeight="1" x14ac:dyDescent="0.25">
      <c r="A373" s="18">
        <v>109</v>
      </c>
      <c r="B373" s="19" t="s">
        <v>148</v>
      </c>
      <c r="C373" s="19" t="s">
        <v>128</v>
      </c>
      <c r="D373" s="20">
        <v>2000000</v>
      </c>
      <c r="E373" s="19"/>
      <c r="F373" s="19">
        <v>3</v>
      </c>
      <c r="G373" s="19" t="s">
        <v>149</v>
      </c>
      <c r="H373" s="19"/>
      <c r="I373" s="19" t="s">
        <v>130</v>
      </c>
      <c r="J373" s="19"/>
      <c r="K373" s="29" t="s">
        <v>20</v>
      </c>
    </row>
    <row r="374" spans="1:11" ht="32.1" customHeight="1" x14ac:dyDescent="0.25">
      <c r="A374" s="18">
        <v>109</v>
      </c>
      <c r="B374" s="19" t="s">
        <v>148</v>
      </c>
      <c r="C374" s="19" t="s">
        <v>128</v>
      </c>
      <c r="D374" s="20">
        <v>390000</v>
      </c>
      <c r="E374" s="19"/>
      <c r="F374" s="19">
        <v>3</v>
      </c>
      <c r="G374" s="19" t="s">
        <v>149</v>
      </c>
      <c r="H374" s="19"/>
      <c r="I374" s="19" t="s">
        <v>130</v>
      </c>
      <c r="J374" s="19"/>
      <c r="K374" s="21" t="str">
        <f>"　"</f>
        <v>　</v>
      </c>
    </row>
    <row r="375" spans="1:11" ht="35.1" customHeight="1" x14ac:dyDescent="0.25">
      <c r="A375" s="18">
        <v>109</v>
      </c>
      <c r="B375" s="19" t="s">
        <v>148</v>
      </c>
      <c r="C375" s="19" t="s">
        <v>128</v>
      </c>
      <c r="D375" s="20">
        <v>215000</v>
      </c>
      <c r="E375" s="19"/>
      <c r="F375" s="19">
        <v>3</v>
      </c>
      <c r="G375" s="19" t="s">
        <v>155</v>
      </c>
      <c r="H375" s="19"/>
      <c r="I375" s="19" t="s">
        <v>130</v>
      </c>
      <c r="J375" s="19"/>
      <c r="K375" s="29" t="s">
        <v>20</v>
      </c>
    </row>
    <row r="376" spans="1:11" ht="35.1" customHeight="1" x14ac:dyDescent="0.25">
      <c r="A376" s="18">
        <v>109</v>
      </c>
      <c r="B376" s="19" t="s">
        <v>148</v>
      </c>
      <c r="C376" s="19" t="s">
        <v>128</v>
      </c>
      <c r="D376" s="20">
        <v>492000</v>
      </c>
      <c r="E376" s="19"/>
      <c r="F376" s="19">
        <v>3</v>
      </c>
      <c r="G376" s="19" t="s">
        <v>155</v>
      </c>
      <c r="H376" s="19"/>
      <c r="I376" s="19" t="s">
        <v>130</v>
      </c>
      <c r="J376" s="19"/>
      <c r="K376" s="29" t="s">
        <v>20</v>
      </c>
    </row>
    <row r="377" spans="1:11" ht="35.1" customHeight="1" x14ac:dyDescent="0.25">
      <c r="A377" s="18">
        <v>109</v>
      </c>
      <c r="B377" s="19" t="s">
        <v>148</v>
      </c>
      <c r="C377" s="19" t="s">
        <v>128</v>
      </c>
      <c r="D377" s="20">
        <v>580000</v>
      </c>
      <c r="E377" s="19"/>
      <c r="F377" s="19">
        <v>3</v>
      </c>
      <c r="G377" s="19" t="s">
        <v>155</v>
      </c>
      <c r="H377" s="19"/>
      <c r="I377" s="19" t="s">
        <v>130</v>
      </c>
      <c r="J377" s="19"/>
      <c r="K377" s="29" t="s">
        <v>20</v>
      </c>
    </row>
    <row r="378" spans="1:11" ht="35.1" customHeight="1" x14ac:dyDescent="0.25">
      <c r="A378" s="18">
        <v>109</v>
      </c>
      <c r="B378" s="19" t="s">
        <v>148</v>
      </c>
      <c r="C378" s="19" t="s">
        <v>128</v>
      </c>
      <c r="D378" s="20">
        <v>580000</v>
      </c>
      <c r="E378" s="19"/>
      <c r="F378" s="19">
        <v>3</v>
      </c>
      <c r="G378" s="19" t="s">
        <v>155</v>
      </c>
      <c r="H378" s="19"/>
      <c r="I378" s="19" t="s">
        <v>130</v>
      </c>
      <c r="J378" s="19"/>
      <c r="K378" s="29" t="s">
        <v>20</v>
      </c>
    </row>
    <row r="379" spans="1:11" ht="35.1" customHeight="1" x14ac:dyDescent="0.25">
      <c r="A379" s="18">
        <v>109</v>
      </c>
      <c r="B379" s="19" t="s">
        <v>148</v>
      </c>
      <c r="C379" s="19" t="s">
        <v>128</v>
      </c>
      <c r="D379" s="20">
        <v>123000</v>
      </c>
      <c r="E379" s="19"/>
      <c r="F379" s="19">
        <v>3</v>
      </c>
      <c r="G379" s="19" t="s">
        <v>156</v>
      </c>
      <c r="H379" s="19"/>
      <c r="I379" s="19" t="s">
        <v>157</v>
      </c>
      <c r="J379" s="19"/>
      <c r="K379" s="29" t="s">
        <v>20</v>
      </c>
    </row>
    <row r="380" spans="1:11" ht="35.1" customHeight="1" x14ac:dyDescent="0.25">
      <c r="A380" s="18">
        <v>109</v>
      </c>
      <c r="B380" s="19" t="s">
        <v>148</v>
      </c>
      <c r="C380" s="19" t="s">
        <v>128</v>
      </c>
      <c r="D380" s="20">
        <v>123000</v>
      </c>
      <c r="E380" s="19"/>
      <c r="F380" s="19">
        <v>3</v>
      </c>
      <c r="G380" s="19" t="s">
        <v>156</v>
      </c>
      <c r="H380" s="19"/>
      <c r="I380" s="19" t="s">
        <v>157</v>
      </c>
      <c r="J380" s="19"/>
      <c r="K380" s="29" t="s">
        <v>20</v>
      </c>
    </row>
    <row r="381" spans="1:11" ht="35.1" customHeight="1" x14ac:dyDescent="0.25">
      <c r="A381" s="18">
        <v>109</v>
      </c>
      <c r="B381" s="19" t="s">
        <v>148</v>
      </c>
      <c r="C381" s="19" t="s">
        <v>128</v>
      </c>
      <c r="D381" s="20">
        <v>125000</v>
      </c>
      <c r="E381" s="19"/>
      <c r="F381" s="19">
        <v>3</v>
      </c>
      <c r="G381" s="19" t="s">
        <v>156</v>
      </c>
      <c r="H381" s="19"/>
      <c r="I381" s="19" t="s">
        <v>815</v>
      </c>
      <c r="J381" s="19"/>
      <c r="K381" s="29" t="s">
        <v>20</v>
      </c>
    </row>
    <row r="382" spans="1:11" ht="35.1" customHeight="1" x14ac:dyDescent="0.25">
      <c r="A382" s="18">
        <v>109</v>
      </c>
      <c r="B382" s="19" t="s">
        <v>148</v>
      </c>
      <c r="C382" s="19" t="s">
        <v>128</v>
      </c>
      <c r="D382" s="20">
        <v>300000</v>
      </c>
      <c r="E382" s="19"/>
      <c r="F382" s="19">
        <v>3</v>
      </c>
      <c r="G382" s="19" t="s">
        <v>160</v>
      </c>
      <c r="H382" s="19"/>
      <c r="I382" s="19" t="s">
        <v>130</v>
      </c>
      <c r="J382" s="19"/>
      <c r="K382" s="29" t="s">
        <v>20</v>
      </c>
    </row>
    <row r="383" spans="1:11" s="17" customFormat="1" x14ac:dyDescent="0.25">
      <c r="A383" s="69" t="s">
        <v>816</v>
      </c>
      <c r="B383" s="70"/>
      <c r="C383" s="15"/>
      <c r="D383" s="15"/>
      <c r="E383" s="15"/>
      <c r="F383" s="15"/>
      <c r="G383" s="15"/>
      <c r="H383" s="15"/>
      <c r="I383" s="15"/>
      <c r="J383" s="15"/>
      <c r="K383" s="16"/>
    </row>
    <row r="384" spans="1:11" ht="32.1" customHeight="1" x14ac:dyDescent="0.25">
      <c r="A384" s="18">
        <v>109</v>
      </c>
      <c r="B384" s="19" t="s">
        <v>127</v>
      </c>
      <c r="C384" s="19" t="s">
        <v>128</v>
      </c>
      <c r="D384" s="20">
        <v>200000</v>
      </c>
      <c r="E384" s="19"/>
      <c r="F384" s="19">
        <v>6</v>
      </c>
      <c r="G384" s="19" t="s">
        <v>814</v>
      </c>
      <c r="H384" s="19"/>
      <c r="I384" s="19" t="s">
        <v>130</v>
      </c>
      <c r="J384" s="19"/>
      <c r="K384" s="21" t="str">
        <f>"　"</f>
        <v>　</v>
      </c>
    </row>
    <row r="385" spans="1:11" ht="35.1" customHeight="1" x14ac:dyDescent="0.25">
      <c r="A385" s="18">
        <v>109</v>
      </c>
      <c r="B385" s="19" t="s">
        <v>148</v>
      </c>
      <c r="C385" s="19" t="s">
        <v>128</v>
      </c>
      <c r="D385" s="20">
        <v>350000</v>
      </c>
      <c r="E385" s="19"/>
      <c r="F385" s="19">
        <v>6</v>
      </c>
      <c r="G385" s="19" t="s">
        <v>155</v>
      </c>
      <c r="H385" s="19"/>
      <c r="I385" s="19" t="s">
        <v>130</v>
      </c>
      <c r="J385" s="19"/>
      <c r="K385" s="29" t="s">
        <v>20</v>
      </c>
    </row>
    <row r="386" spans="1:11" ht="56.25" customHeight="1" x14ac:dyDescent="0.25">
      <c r="A386" s="22">
        <v>109</v>
      </c>
      <c r="B386" s="23" t="s">
        <v>786</v>
      </c>
      <c r="C386" s="23" t="s">
        <v>128</v>
      </c>
      <c r="D386" s="23"/>
      <c r="E386" s="24">
        <v>6331</v>
      </c>
      <c r="F386" s="23">
        <v>6</v>
      </c>
      <c r="G386" s="23" t="s">
        <v>817</v>
      </c>
      <c r="H386" s="23" t="s">
        <v>818</v>
      </c>
      <c r="I386" s="23" t="s">
        <v>166</v>
      </c>
      <c r="J386" s="23" t="s">
        <v>819</v>
      </c>
      <c r="K386" s="25" t="str">
        <f>"00053626"</f>
        <v>00053626</v>
      </c>
    </row>
    <row r="387" spans="1:11" ht="56.25" customHeight="1" x14ac:dyDescent="0.25">
      <c r="A387" s="22">
        <v>109</v>
      </c>
      <c r="B387" s="23" t="s">
        <v>786</v>
      </c>
      <c r="C387" s="23" t="s">
        <v>128</v>
      </c>
      <c r="D387" s="23"/>
      <c r="E387" s="24">
        <v>6331</v>
      </c>
      <c r="F387" s="23">
        <v>6</v>
      </c>
      <c r="G387" s="23" t="s">
        <v>817</v>
      </c>
      <c r="H387" s="23" t="s">
        <v>818</v>
      </c>
      <c r="I387" s="23" t="s">
        <v>166</v>
      </c>
      <c r="J387" s="23" t="s">
        <v>819</v>
      </c>
      <c r="K387" s="25" t="str">
        <f>"00053629"</f>
        <v>00053629</v>
      </c>
    </row>
    <row r="388" spans="1:11" ht="35.1" customHeight="1" x14ac:dyDescent="0.25">
      <c r="A388" s="18">
        <v>109</v>
      </c>
      <c r="B388" s="19" t="s">
        <v>148</v>
      </c>
      <c r="C388" s="19" t="s">
        <v>128</v>
      </c>
      <c r="D388" s="20">
        <v>175000</v>
      </c>
      <c r="E388" s="19"/>
      <c r="F388" s="19">
        <v>6</v>
      </c>
      <c r="G388" s="19" t="s">
        <v>820</v>
      </c>
      <c r="H388" s="19"/>
      <c r="I388" s="19" t="s">
        <v>157</v>
      </c>
      <c r="J388" s="19"/>
      <c r="K388" s="29" t="s">
        <v>20</v>
      </c>
    </row>
    <row r="389" spans="1:11" s="17" customFormat="1" x14ac:dyDescent="0.25">
      <c r="A389" s="69" t="s">
        <v>821</v>
      </c>
      <c r="B389" s="70"/>
      <c r="C389" s="15"/>
      <c r="D389" s="15"/>
      <c r="E389" s="15"/>
      <c r="F389" s="15"/>
      <c r="G389" s="15"/>
      <c r="H389" s="15"/>
      <c r="I389" s="15"/>
      <c r="J389" s="15"/>
      <c r="K389" s="16"/>
    </row>
    <row r="390" spans="1:11" ht="32.1" customHeight="1" x14ac:dyDescent="0.25">
      <c r="A390" s="18">
        <v>109</v>
      </c>
      <c r="B390" s="19" t="s">
        <v>822</v>
      </c>
      <c r="C390" s="19" t="s">
        <v>128</v>
      </c>
      <c r="D390" s="20">
        <v>1400000</v>
      </c>
      <c r="E390" s="19"/>
      <c r="F390" s="19">
        <v>7</v>
      </c>
      <c r="G390" s="19" t="s">
        <v>823</v>
      </c>
      <c r="H390" s="19"/>
      <c r="I390" s="19" t="s">
        <v>824</v>
      </c>
      <c r="J390" s="19"/>
      <c r="K390" s="21" t="str">
        <f>"　"</f>
        <v>　</v>
      </c>
    </row>
    <row r="391" spans="1:11" ht="71.25" customHeight="1" x14ac:dyDescent="0.25">
      <c r="A391" s="22">
        <v>109</v>
      </c>
      <c r="B391" s="23" t="s">
        <v>825</v>
      </c>
      <c r="C391" s="23" t="s">
        <v>128</v>
      </c>
      <c r="D391" s="23"/>
      <c r="E391" s="24">
        <v>357132</v>
      </c>
      <c r="F391" s="23">
        <v>7</v>
      </c>
      <c r="G391" s="23" t="s">
        <v>826</v>
      </c>
      <c r="H391" s="23" t="s">
        <v>827</v>
      </c>
      <c r="I391" s="23" t="s">
        <v>142</v>
      </c>
      <c r="J391" s="23" t="s">
        <v>828</v>
      </c>
      <c r="K391" s="25" t="str">
        <f>"00053319"</f>
        <v>00053319</v>
      </c>
    </row>
    <row r="392" spans="1:11" ht="32.1" customHeight="1" x14ac:dyDescent="0.25">
      <c r="A392" s="18">
        <v>109</v>
      </c>
      <c r="B392" s="19" t="s">
        <v>822</v>
      </c>
      <c r="C392" s="19" t="s">
        <v>128</v>
      </c>
      <c r="D392" s="20">
        <v>1600000</v>
      </c>
      <c r="E392" s="19"/>
      <c r="F392" s="19">
        <v>7</v>
      </c>
      <c r="G392" s="19" t="s">
        <v>829</v>
      </c>
      <c r="H392" s="19"/>
      <c r="I392" s="19" t="s">
        <v>824</v>
      </c>
      <c r="J392" s="19"/>
      <c r="K392" s="21" t="str">
        <f>"　"</f>
        <v>　</v>
      </c>
    </row>
    <row r="393" spans="1:11" ht="14.25" customHeight="1" x14ac:dyDescent="0.25">
      <c r="A393" s="74">
        <v>109</v>
      </c>
      <c r="B393" s="72" t="s">
        <v>830</v>
      </c>
      <c r="C393" s="72" t="s">
        <v>128</v>
      </c>
      <c r="D393" s="72"/>
      <c r="E393" s="76">
        <v>42998</v>
      </c>
      <c r="F393" s="72">
        <v>7</v>
      </c>
      <c r="G393" s="72" t="s">
        <v>831</v>
      </c>
      <c r="H393" s="72" t="s">
        <v>832</v>
      </c>
      <c r="I393" s="72" t="s">
        <v>142</v>
      </c>
      <c r="J393" s="72" t="s">
        <v>833</v>
      </c>
      <c r="K393" s="25" t="str">
        <f>"00053514"</f>
        <v>00053514</v>
      </c>
    </row>
    <row r="394" spans="1:11" ht="57" x14ac:dyDescent="0.25">
      <c r="A394" s="75"/>
      <c r="B394" s="73"/>
      <c r="C394" s="73"/>
      <c r="D394" s="73"/>
      <c r="E394" s="77"/>
      <c r="F394" s="73"/>
      <c r="G394" s="73"/>
      <c r="H394" s="73"/>
      <c r="I394" s="73"/>
      <c r="J394" s="73"/>
      <c r="K394" s="28" t="s">
        <v>834</v>
      </c>
    </row>
    <row r="395" spans="1:11" ht="49.5" customHeight="1" x14ac:dyDescent="0.25">
      <c r="A395" s="22">
        <v>109</v>
      </c>
      <c r="B395" s="23" t="s">
        <v>825</v>
      </c>
      <c r="C395" s="23" t="s">
        <v>128</v>
      </c>
      <c r="D395" s="23"/>
      <c r="E395" s="24">
        <v>37865</v>
      </c>
      <c r="F395" s="23">
        <v>7</v>
      </c>
      <c r="G395" s="23" t="s">
        <v>835</v>
      </c>
      <c r="H395" s="23" t="s">
        <v>836</v>
      </c>
      <c r="I395" s="23" t="s">
        <v>142</v>
      </c>
      <c r="J395" s="23" t="s">
        <v>153</v>
      </c>
      <c r="K395" s="25" t="str">
        <f>"00054511"</f>
        <v>00054511</v>
      </c>
    </row>
    <row r="396" spans="1:11" ht="49.5" customHeight="1" x14ac:dyDescent="0.25">
      <c r="A396" s="18">
        <v>109</v>
      </c>
      <c r="B396" s="19" t="s">
        <v>822</v>
      </c>
      <c r="C396" s="19" t="s">
        <v>128</v>
      </c>
      <c r="D396" s="20">
        <v>1500000</v>
      </c>
      <c r="E396" s="19"/>
      <c r="F396" s="19">
        <v>7</v>
      </c>
      <c r="G396" s="19" t="s">
        <v>837</v>
      </c>
      <c r="H396" s="19"/>
      <c r="I396" s="19" t="s">
        <v>824</v>
      </c>
      <c r="J396" s="19"/>
      <c r="K396" s="21" t="str">
        <f>"　"</f>
        <v>　</v>
      </c>
    </row>
    <row r="397" spans="1:11" ht="49.5" customHeight="1" x14ac:dyDescent="0.25">
      <c r="A397" s="22">
        <v>109</v>
      </c>
      <c r="B397" s="23" t="s">
        <v>838</v>
      </c>
      <c r="C397" s="23" t="s">
        <v>128</v>
      </c>
      <c r="D397" s="23"/>
      <c r="E397" s="24">
        <v>123000</v>
      </c>
      <c r="F397" s="23">
        <v>7</v>
      </c>
      <c r="G397" s="23" t="s">
        <v>839</v>
      </c>
      <c r="H397" s="23" t="s">
        <v>840</v>
      </c>
      <c r="I397" s="23" t="s">
        <v>532</v>
      </c>
      <c r="J397" s="23" t="s">
        <v>841</v>
      </c>
      <c r="K397" s="25" t="str">
        <f>"00053513"</f>
        <v>00053513</v>
      </c>
    </row>
    <row r="398" spans="1:11" ht="58.5" customHeight="1" x14ac:dyDescent="0.25">
      <c r="A398" s="22">
        <v>109</v>
      </c>
      <c r="B398" s="23" t="s">
        <v>842</v>
      </c>
      <c r="C398" s="23" t="s">
        <v>128</v>
      </c>
      <c r="D398" s="23"/>
      <c r="E398" s="24">
        <v>56137</v>
      </c>
      <c r="F398" s="23">
        <v>7</v>
      </c>
      <c r="G398" s="23" t="s">
        <v>843</v>
      </c>
      <c r="H398" s="23" t="s">
        <v>844</v>
      </c>
      <c r="I398" s="23" t="s">
        <v>142</v>
      </c>
      <c r="J398" s="23" t="s">
        <v>845</v>
      </c>
      <c r="K398" s="25" t="str">
        <f>"00054383"</f>
        <v>00054383</v>
      </c>
    </row>
    <row r="399" spans="1:11" ht="58.5" customHeight="1" x14ac:dyDescent="0.25">
      <c r="A399" s="30">
        <v>109</v>
      </c>
      <c r="B399" s="31" t="s">
        <v>846</v>
      </c>
      <c r="C399" s="31" t="s">
        <v>128</v>
      </c>
      <c r="D399" s="31"/>
      <c r="E399" s="32">
        <v>103160</v>
      </c>
      <c r="F399" s="31">
        <v>7</v>
      </c>
      <c r="G399" s="31" t="s">
        <v>847</v>
      </c>
      <c r="H399" s="31" t="s">
        <v>848</v>
      </c>
      <c r="I399" s="31" t="s">
        <v>142</v>
      </c>
      <c r="J399" s="31" t="s">
        <v>849</v>
      </c>
      <c r="K399" s="33" t="str">
        <f>"00053494"</f>
        <v>00053494</v>
      </c>
    </row>
    <row r="400" spans="1:11" ht="32.1" customHeight="1" x14ac:dyDescent="0.25">
      <c r="A400" s="49">
        <v>109</v>
      </c>
      <c r="B400" s="50" t="s">
        <v>822</v>
      </c>
      <c r="C400" s="50" t="s">
        <v>128</v>
      </c>
      <c r="D400" s="51">
        <v>3500000</v>
      </c>
      <c r="E400" s="50"/>
      <c r="F400" s="50">
        <v>7</v>
      </c>
      <c r="G400" s="50" t="s">
        <v>850</v>
      </c>
      <c r="H400" s="50"/>
      <c r="I400" s="50" t="s">
        <v>824</v>
      </c>
      <c r="J400" s="50"/>
      <c r="K400" s="28" t="str">
        <f>"　"</f>
        <v>　</v>
      </c>
    </row>
    <row r="401" spans="1:11" ht="54" customHeight="1" x14ac:dyDescent="0.25">
      <c r="A401" s="22">
        <v>109</v>
      </c>
      <c r="B401" s="23" t="s">
        <v>851</v>
      </c>
      <c r="C401" s="23" t="s">
        <v>128</v>
      </c>
      <c r="D401" s="23"/>
      <c r="E401" s="24">
        <v>14431</v>
      </c>
      <c r="F401" s="23">
        <v>7</v>
      </c>
      <c r="G401" s="23" t="s">
        <v>294</v>
      </c>
      <c r="H401" s="23" t="s">
        <v>852</v>
      </c>
      <c r="I401" s="23" t="s">
        <v>142</v>
      </c>
      <c r="J401" s="23" t="s">
        <v>271</v>
      </c>
      <c r="K401" s="25" t="str">
        <f>"00053770"</f>
        <v>00053770</v>
      </c>
    </row>
    <row r="402" spans="1:11" ht="49.5" customHeight="1" x14ac:dyDescent="0.25">
      <c r="A402" s="22">
        <v>109</v>
      </c>
      <c r="B402" s="23" t="s">
        <v>853</v>
      </c>
      <c r="C402" s="23" t="s">
        <v>128</v>
      </c>
      <c r="D402" s="23"/>
      <c r="E402" s="24">
        <v>44603</v>
      </c>
      <c r="F402" s="23">
        <v>7</v>
      </c>
      <c r="G402" s="23" t="s">
        <v>854</v>
      </c>
      <c r="H402" s="23" t="s">
        <v>855</v>
      </c>
      <c r="I402" s="23" t="s">
        <v>142</v>
      </c>
      <c r="J402" s="23" t="s">
        <v>413</v>
      </c>
      <c r="K402" s="25" t="str">
        <f>"00053779"</f>
        <v>00053779</v>
      </c>
    </row>
    <row r="403" spans="1:11" ht="58.5" customHeight="1" x14ac:dyDescent="0.25">
      <c r="A403" s="22">
        <v>109</v>
      </c>
      <c r="B403" s="23" t="s">
        <v>856</v>
      </c>
      <c r="C403" s="23" t="s">
        <v>128</v>
      </c>
      <c r="D403" s="23"/>
      <c r="E403" s="24">
        <v>13537</v>
      </c>
      <c r="F403" s="23">
        <v>7</v>
      </c>
      <c r="G403" s="23" t="s">
        <v>857</v>
      </c>
      <c r="H403" s="23" t="s">
        <v>858</v>
      </c>
      <c r="I403" s="23" t="s">
        <v>142</v>
      </c>
      <c r="J403" s="23" t="s">
        <v>444</v>
      </c>
      <c r="K403" s="25" t="str">
        <f>"00054389"</f>
        <v>00054389</v>
      </c>
    </row>
    <row r="404" spans="1:11" ht="12.75" customHeight="1" x14ac:dyDescent="0.25">
      <c r="A404" s="74">
        <v>109</v>
      </c>
      <c r="B404" s="72" t="s">
        <v>859</v>
      </c>
      <c r="C404" s="72" t="s">
        <v>128</v>
      </c>
      <c r="D404" s="72"/>
      <c r="E404" s="76">
        <v>6000</v>
      </c>
      <c r="F404" s="72">
        <v>7</v>
      </c>
      <c r="G404" s="72" t="s">
        <v>860</v>
      </c>
      <c r="H404" s="72" t="s">
        <v>861</v>
      </c>
      <c r="I404" s="72" t="s">
        <v>142</v>
      </c>
      <c r="J404" s="72" t="s">
        <v>512</v>
      </c>
      <c r="K404" s="25" t="str">
        <f>"00054007"</f>
        <v>00054007</v>
      </c>
    </row>
    <row r="405" spans="1:11" ht="46.5" customHeight="1" x14ac:dyDescent="0.25">
      <c r="A405" s="75"/>
      <c r="B405" s="73"/>
      <c r="C405" s="73"/>
      <c r="D405" s="73"/>
      <c r="E405" s="77"/>
      <c r="F405" s="73"/>
      <c r="G405" s="73"/>
      <c r="H405" s="73"/>
      <c r="I405" s="73"/>
      <c r="J405" s="73"/>
      <c r="K405" s="28" t="s">
        <v>177</v>
      </c>
    </row>
    <row r="406" spans="1:11" ht="57" customHeight="1" x14ac:dyDescent="0.25">
      <c r="A406" s="74">
        <v>109</v>
      </c>
      <c r="B406" s="72" t="s">
        <v>862</v>
      </c>
      <c r="C406" s="72" t="s">
        <v>128</v>
      </c>
      <c r="D406" s="72"/>
      <c r="E406" s="76">
        <v>38773</v>
      </c>
      <c r="F406" s="72">
        <v>7</v>
      </c>
      <c r="G406" s="72" t="s">
        <v>863</v>
      </c>
      <c r="H406" s="72" t="s">
        <v>864</v>
      </c>
      <c r="I406" s="72" t="s">
        <v>865</v>
      </c>
      <c r="J406" s="72" t="s">
        <v>866</v>
      </c>
      <c r="K406" s="25" t="str">
        <f>"00053835"</f>
        <v>00053835</v>
      </c>
    </row>
    <row r="407" spans="1:11" ht="57.75" customHeight="1" x14ac:dyDescent="0.25">
      <c r="A407" s="75"/>
      <c r="B407" s="73"/>
      <c r="C407" s="73"/>
      <c r="D407" s="73"/>
      <c r="E407" s="77"/>
      <c r="F407" s="73"/>
      <c r="G407" s="73"/>
      <c r="H407" s="73"/>
      <c r="I407" s="73"/>
      <c r="J407" s="73"/>
      <c r="K407" s="27" t="s">
        <v>32</v>
      </c>
    </row>
    <row r="408" spans="1:11" ht="65.25" customHeight="1" x14ac:dyDescent="0.25">
      <c r="A408" s="22">
        <v>109</v>
      </c>
      <c r="B408" s="23" t="s">
        <v>862</v>
      </c>
      <c r="C408" s="23" t="s">
        <v>128</v>
      </c>
      <c r="D408" s="23"/>
      <c r="E408" s="24">
        <v>44090</v>
      </c>
      <c r="F408" s="23">
        <v>7</v>
      </c>
      <c r="G408" s="23" t="s">
        <v>867</v>
      </c>
      <c r="H408" s="23" t="s">
        <v>868</v>
      </c>
      <c r="I408" s="23" t="s">
        <v>142</v>
      </c>
      <c r="J408" s="23" t="s">
        <v>153</v>
      </c>
      <c r="K408" s="25" t="str">
        <f>"00051636"</f>
        <v>00051636</v>
      </c>
    </row>
    <row r="409" spans="1:11" ht="56.25" customHeight="1" x14ac:dyDescent="0.25">
      <c r="A409" s="22">
        <v>109</v>
      </c>
      <c r="B409" s="23" t="s">
        <v>869</v>
      </c>
      <c r="C409" s="23" t="s">
        <v>128</v>
      </c>
      <c r="D409" s="23"/>
      <c r="E409" s="24">
        <v>48730</v>
      </c>
      <c r="F409" s="23">
        <v>7</v>
      </c>
      <c r="G409" s="23" t="s">
        <v>646</v>
      </c>
      <c r="H409" s="23" t="s">
        <v>647</v>
      </c>
      <c r="I409" s="23" t="s">
        <v>474</v>
      </c>
      <c r="J409" s="23" t="s">
        <v>622</v>
      </c>
      <c r="K409" s="25" t="str">
        <f>"00052888"</f>
        <v>00052888</v>
      </c>
    </row>
    <row r="410" spans="1:11" ht="61.5" customHeight="1" x14ac:dyDescent="0.25">
      <c r="A410" s="22">
        <v>109</v>
      </c>
      <c r="B410" s="23" t="s">
        <v>870</v>
      </c>
      <c r="C410" s="23" t="s">
        <v>128</v>
      </c>
      <c r="D410" s="23"/>
      <c r="E410" s="24">
        <v>31410</v>
      </c>
      <c r="F410" s="23">
        <v>7</v>
      </c>
      <c r="G410" s="23" t="s">
        <v>871</v>
      </c>
      <c r="H410" s="23" t="s">
        <v>403</v>
      </c>
      <c r="I410" s="23" t="s">
        <v>404</v>
      </c>
      <c r="J410" s="23" t="s">
        <v>405</v>
      </c>
      <c r="K410" s="25" t="str">
        <f>"00054258"</f>
        <v>00054258</v>
      </c>
    </row>
    <row r="411" spans="1:11" ht="32.1" customHeight="1" x14ac:dyDescent="0.25">
      <c r="A411" s="18">
        <v>109</v>
      </c>
      <c r="B411" s="19" t="s">
        <v>127</v>
      </c>
      <c r="C411" s="19" t="s">
        <v>128</v>
      </c>
      <c r="D411" s="20">
        <v>27675000</v>
      </c>
      <c r="E411" s="19"/>
      <c r="F411" s="19">
        <v>7</v>
      </c>
      <c r="G411" s="19" t="s">
        <v>162</v>
      </c>
      <c r="H411" s="19"/>
      <c r="I411" s="19" t="s">
        <v>872</v>
      </c>
      <c r="J411" s="19"/>
      <c r="K411" s="21" t="str">
        <f>"　"</f>
        <v>　</v>
      </c>
    </row>
    <row r="412" spans="1:11" ht="44.25" customHeight="1" x14ac:dyDescent="0.25">
      <c r="A412" s="74">
        <v>109</v>
      </c>
      <c r="B412" s="72" t="s">
        <v>873</v>
      </c>
      <c r="C412" s="72" t="s">
        <v>128</v>
      </c>
      <c r="D412" s="72"/>
      <c r="E412" s="76">
        <v>332132</v>
      </c>
      <c r="F412" s="72">
        <v>7</v>
      </c>
      <c r="G412" s="72" t="s">
        <v>874</v>
      </c>
      <c r="H412" s="72" t="s">
        <v>875</v>
      </c>
      <c r="I412" s="72" t="s">
        <v>876</v>
      </c>
      <c r="J412" s="72" t="s">
        <v>877</v>
      </c>
      <c r="K412" s="25" t="str">
        <f>"00052420"</f>
        <v>00052420</v>
      </c>
    </row>
    <row r="413" spans="1:11" ht="42" customHeight="1" x14ac:dyDescent="0.25">
      <c r="A413" s="75"/>
      <c r="B413" s="73"/>
      <c r="C413" s="73"/>
      <c r="D413" s="73"/>
      <c r="E413" s="77"/>
      <c r="F413" s="73"/>
      <c r="G413" s="73"/>
      <c r="H413" s="73"/>
      <c r="I413" s="73"/>
      <c r="J413" s="73"/>
      <c r="K413" s="27" t="s">
        <v>32</v>
      </c>
    </row>
    <row r="414" spans="1:11" ht="44.25" customHeight="1" x14ac:dyDescent="0.25">
      <c r="A414" s="74">
        <v>109</v>
      </c>
      <c r="B414" s="72" t="s">
        <v>873</v>
      </c>
      <c r="C414" s="72" t="s">
        <v>128</v>
      </c>
      <c r="D414" s="72"/>
      <c r="E414" s="76">
        <v>318218</v>
      </c>
      <c r="F414" s="72">
        <v>7</v>
      </c>
      <c r="G414" s="72" t="s">
        <v>878</v>
      </c>
      <c r="H414" s="72" t="s">
        <v>875</v>
      </c>
      <c r="I414" s="72" t="s">
        <v>876</v>
      </c>
      <c r="J414" s="72" t="s">
        <v>877</v>
      </c>
      <c r="K414" s="25" t="str">
        <f>"00052426"</f>
        <v>00052426</v>
      </c>
    </row>
    <row r="415" spans="1:11" ht="41.25" customHeight="1" x14ac:dyDescent="0.25">
      <c r="A415" s="75"/>
      <c r="B415" s="73"/>
      <c r="C415" s="73"/>
      <c r="D415" s="73"/>
      <c r="E415" s="77"/>
      <c r="F415" s="73"/>
      <c r="G415" s="73"/>
      <c r="H415" s="73"/>
      <c r="I415" s="73"/>
      <c r="J415" s="73"/>
      <c r="K415" s="34" t="s">
        <v>32</v>
      </c>
    </row>
    <row r="416" spans="1:11" ht="44.25" customHeight="1" x14ac:dyDescent="0.25">
      <c r="A416" s="74">
        <v>109</v>
      </c>
      <c r="B416" s="72" t="s">
        <v>873</v>
      </c>
      <c r="C416" s="72" t="s">
        <v>128</v>
      </c>
      <c r="D416" s="72"/>
      <c r="E416" s="76">
        <v>590414</v>
      </c>
      <c r="F416" s="72">
        <v>7</v>
      </c>
      <c r="G416" s="72" t="s">
        <v>879</v>
      </c>
      <c r="H416" s="72" t="s">
        <v>880</v>
      </c>
      <c r="I416" s="72" t="s">
        <v>876</v>
      </c>
      <c r="J416" s="72" t="s">
        <v>877</v>
      </c>
      <c r="K416" s="27" t="str">
        <f>"00049530"</f>
        <v>00049530</v>
      </c>
    </row>
    <row r="417" spans="1:11" ht="42" customHeight="1" x14ac:dyDescent="0.25">
      <c r="A417" s="86"/>
      <c r="B417" s="85"/>
      <c r="C417" s="85"/>
      <c r="D417" s="85"/>
      <c r="E417" s="87"/>
      <c r="F417" s="85"/>
      <c r="G417" s="85"/>
      <c r="H417" s="85"/>
      <c r="I417" s="85"/>
      <c r="J417" s="85"/>
      <c r="K417" s="34" t="s">
        <v>32</v>
      </c>
    </row>
    <row r="418" spans="1:11" ht="86.25" customHeight="1" x14ac:dyDescent="0.25">
      <c r="A418" s="38">
        <v>109</v>
      </c>
      <c r="B418" s="39" t="s">
        <v>881</v>
      </c>
      <c r="C418" s="39" t="s">
        <v>128</v>
      </c>
      <c r="D418" s="39"/>
      <c r="E418" s="40">
        <v>334842</v>
      </c>
      <c r="F418" s="39">
        <v>7</v>
      </c>
      <c r="G418" s="39" t="s">
        <v>882</v>
      </c>
      <c r="H418" s="39" t="s">
        <v>883</v>
      </c>
      <c r="I418" s="39" t="s">
        <v>876</v>
      </c>
      <c r="J418" s="39" t="s">
        <v>877</v>
      </c>
      <c r="K418" s="27" t="str">
        <f>"00054159"</f>
        <v>00054159</v>
      </c>
    </row>
    <row r="419" spans="1:11" ht="39" customHeight="1" x14ac:dyDescent="0.25">
      <c r="A419" s="74">
        <v>109</v>
      </c>
      <c r="B419" s="72" t="s">
        <v>884</v>
      </c>
      <c r="C419" s="72" t="s">
        <v>128</v>
      </c>
      <c r="D419" s="72"/>
      <c r="E419" s="76">
        <v>286675</v>
      </c>
      <c r="F419" s="72">
        <v>7</v>
      </c>
      <c r="G419" s="72" t="s">
        <v>885</v>
      </c>
      <c r="H419" s="72" t="s">
        <v>886</v>
      </c>
      <c r="I419" s="72" t="s">
        <v>876</v>
      </c>
      <c r="J419" s="72" t="s">
        <v>877</v>
      </c>
      <c r="K419" s="25" t="str">
        <f>"00053820"</f>
        <v>00053820</v>
      </c>
    </row>
    <row r="420" spans="1:11" ht="39" customHeight="1" x14ac:dyDescent="0.25">
      <c r="A420" s="75"/>
      <c r="B420" s="73"/>
      <c r="C420" s="73"/>
      <c r="D420" s="73"/>
      <c r="E420" s="77"/>
      <c r="F420" s="73"/>
      <c r="G420" s="73"/>
      <c r="H420" s="73"/>
      <c r="I420" s="73"/>
      <c r="J420" s="73"/>
      <c r="K420" s="27" t="s">
        <v>32</v>
      </c>
    </row>
    <row r="421" spans="1:11" ht="25.5" customHeight="1" x14ac:dyDescent="0.25">
      <c r="A421" s="74">
        <v>109</v>
      </c>
      <c r="B421" s="72" t="s">
        <v>887</v>
      </c>
      <c r="C421" s="72" t="s">
        <v>128</v>
      </c>
      <c r="D421" s="72"/>
      <c r="E421" s="76">
        <v>177499</v>
      </c>
      <c r="F421" s="72">
        <v>7</v>
      </c>
      <c r="G421" s="72" t="s">
        <v>888</v>
      </c>
      <c r="H421" s="72" t="s">
        <v>889</v>
      </c>
      <c r="I421" s="72" t="s">
        <v>142</v>
      </c>
      <c r="J421" s="72" t="s">
        <v>890</v>
      </c>
      <c r="K421" s="25" t="str">
        <f>"00053748"</f>
        <v>00053748</v>
      </c>
    </row>
    <row r="422" spans="1:11" ht="24.75" customHeight="1" x14ac:dyDescent="0.25">
      <c r="A422" s="75"/>
      <c r="B422" s="73"/>
      <c r="C422" s="73"/>
      <c r="D422" s="73"/>
      <c r="E422" s="77"/>
      <c r="F422" s="73"/>
      <c r="G422" s="73"/>
      <c r="H422" s="73"/>
      <c r="I422" s="73"/>
      <c r="J422" s="73"/>
      <c r="K422" s="27" t="s">
        <v>32</v>
      </c>
    </row>
    <row r="423" spans="1:11" ht="59.25" customHeight="1" x14ac:dyDescent="0.25">
      <c r="A423" s="22">
        <v>109</v>
      </c>
      <c r="B423" s="23" t="s">
        <v>891</v>
      </c>
      <c r="C423" s="23" t="s">
        <v>128</v>
      </c>
      <c r="D423" s="23"/>
      <c r="E423" s="24">
        <v>17073</v>
      </c>
      <c r="F423" s="23">
        <v>7</v>
      </c>
      <c r="G423" s="23" t="s">
        <v>892</v>
      </c>
      <c r="H423" s="23" t="s">
        <v>893</v>
      </c>
      <c r="I423" s="23" t="s">
        <v>166</v>
      </c>
      <c r="J423" s="23" t="s">
        <v>894</v>
      </c>
      <c r="K423" s="25" t="str">
        <f>"00054356"</f>
        <v>00054356</v>
      </c>
    </row>
    <row r="424" spans="1:11" ht="57" customHeight="1" x14ac:dyDescent="0.25">
      <c r="A424" s="22">
        <v>109</v>
      </c>
      <c r="B424" s="23" t="s">
        <v>881</v>
      </c>
      <c r="C424" s="23" t="s">
        <v>128</v>
      </c>
      <c r="D424" s="23"/>
      <c r="E424" s="24">
        <v>382992</v>
      </c>
      <c r="F424" s="23">
        <v>7</v>
      </c>
      <c r="G424" s="23" t="s">
        <v>895</v>
      </c>
      <c r="H424" s="23" t="s">
        <v>896</v>
      </c>
      <c r="I424" s="23" t="s">
        <v>876</v>
      </c>
      <c r="J424" s="23" t="s">
        <v>877</v>
      </c>
      <c r="K424" s="25" t="str">
        <f>"00054050"</f>
        <v>00054050</v>
      </c>
    </row>
    <row r="425" spans="1:11" ht="60.75" customHeight="1" x14ac:dyDescent="0.25">
      <c r="A425" s="22">
        <v>109</v>
      </c>
      <c r="B425" s="23" t="s">
        <v>881</v>
      </c>
      <c r="C425" s="23" t="s">
        <v>128</v>
      </c>
      <c r="D425" s="23"/>
      <c r="E425" s="24">
        <v>139972</v>
      </c>
      <c r="F425" s="23">
        <v>7</v>
      </c>
      <c r="G425" s="23" t="s">
        <v>897</v>
      </c>
      <c r="H425" s="23" t="s">
        <v>898</v>
      </c>
      <c r="I425" s="23" t="s">
        <v>876</v>
      </c>
      <c r="J425" s="23" t="s">
        <v>877</v>
      </c>
      <c r="K425" s="25" t="str">
        <f>"00054378"</f>
        <v>00054378</v>
      </c>
    </row>
    <row r="426" spans="1:11" ht="75.75" customHeight="1" x14ac:dyDescent="0.25">
      <c r="A426" s="22">
        <v>109</v>
      </c>
      <c r="B426" s="23" t="s">
        <v>899</v>
      </c>
      <c r="C426" s="23" t="s">
        <v>128</v>
      </c>
      <c r="D426" s="23"/>
      <c r="E426" s="24">
        <v>286675</v>
      </c>
      <c r="F426" s="23">
        <v>7</v>
      </c>
      <c r="G426" s="23" t="s">
        <v>900</v>
      </c>
      <c r="H426" s="23" t="s">
        <v>901</v>
      </c>
      <c r="I426" s="23" t="s">
        <v>876</v>
      </c>
      <c r="J426" s="23" t="s">
        <v>877</v>
      </c>
      <c r="K426" s="25" t="str">
        <f>"00053462"</f>
        <v>00053462</v>
      </c>
    </row>
    <row r="427" spans="1:11" ht="24" customHeight="1" x14ac:dyDescent="0.25">
      <c r="A427" s="74">
        <v>109</v>
      </c>
      <c r="B427" s="72" t="s">
        <v>873</v>
      </c>
      <c r="C427" s="72" t="s">
        <v>128</v>
      </c>
      <c r="D427" s="72"/>
      <c r="E427" s="76">
        <v>709458</v>
      </c>
      <c r="F427" s="72">
        <v>7</v>
      </c>
      <c r="G427" s="72" t="s">
        <v>902</v>
      </c>
      <c r="H427" s="72" t="s">
        <v>903</v>
      </c>
      <c r="I427" s="72" t="s">
        <v>876</v>
      </c>
      <c r="J427" s="72" t="s">
        <v>877</v>
      </c>
      <c r="K427" s="25" t="str">
        <f>"00052422"</f>
        <v>00052422</v>
      </c>
    </row>
    <row r="428" spans="1:11" ht="34.5" customHeight="1" x14ac:dyDescent="0.25">
      <c r="A428" s="79"/>
      <c r="B428" s="78"/>
      <c r="C428" s="78"/>
      <c r="D428" s="78"/>
      <c r="E428" s="80"/>
      <c r="F428" s="78"/>
      <c r="G428" s="78"/>
      <c r="H428" s="78"/>
      <c r="I428" s="78"/>
      <c r="J428" s="78"/>
      <c r="K428" s="27" t="s">
        <v>904</v>
      </c>
    </row>
    <row r="429" spans="1:11" ht="28.5" customHeight="1" x14ac:dyDescent="0.25">
      <c r="A429" s="75"/>
      <c r="B429" s="73"/>
      <c r="C429" s="73"/>
      <c r="D429" s="73"/>
      <c r="E429" s="77"/>
      <c r="F429" s="73"/>
      <c r="G429" s="73"/>
      <c r="H429" s="73"/>
      <c r="I429" s="73"/>
      <c r="J429" s="73"/>
      <c r="K429" s="27" t="s">
        <v>32</v>
      </c>
    </row>
    <row r="430" spans="1:11" ht="30.75" customHeight="1" x14ac:dyDescent="0.25">
      <c r="A430" s="74">
        <v>109</v>
      </c>
      <c r="B430" s="72" t="s">
        <v>905</v>
      </c>
      <c r="C430" s="72" t="s">
        <v>128</v>
      </c>
      <c r="D430" s="72"/>
      <c r="E430" s="76">
        <v>496395</v>
      </c>
      <c r="F430" s="72">
        <v>7</v>
      </c>
      <c r="G430" s="72" t="s">
        <v>906</v>
      </c>
      <c r="H430" s="72" t="s">
        <v>907</v>
      </c>
      <c r="I430" s="72" t="s">
        <v>166</v>
      </c>
      <c r="J430" s="72" t="s">
        <v>894</v>
      </c>
      <c r="K430" s="25" t="str">
        <f>"00053004"</f>
        <v>00053004</v>
      </c>
    </row>
    <row r="431" spans="1:11" ht="30.75" customHeight="1" x14ac:dyDescent="0.25">
      <c r="A431" s="75"/>
      <c r="B431" s="73"/>
      <c r="C431" s="73"/>
      <c r="D431" s="73"/>
      <c r="E431" s="77"/>
      <c r="F431" s="73"/>
      <c r="G431" s="73"/>
      <c r="H431" s="73"/>
      <c r="I431" s="73"/>
      <c r="J431" s="73"/>
      <c r="K431" s="27" t="s">
        <v>32</v>
      </c>
    </row>
    <row r="432" spans="1:11" ht="50.25" customHeight="1" x14ac:dyDescent="0.25">
      <c r="A432" s="74">
        <v>109</v>
      </c>
      <c r="B432" s="72" t="s">
        <v>908</v>
      </c>
      <c r="C432" s="72" t="s">
        <v>128</v>
      </c>
      <c r="D432" s="72"/>
      <c r="E432" s="76">
        <v>83898</v>
      </c>
      <c r="F432" s="72">
        <v>7</v>
      </c>
      <c r="G432" s="72" t="s">
        <v>909</v>
      </c>
      <c r="H432" s="72" t="s">
        <v>910</v>
      </c>
      <c r="I432" s="72" t="s">
        <v>876</v>
      </c>
      <c r="J432" s="72" t="s">
        <v>877</v>
      </c>
      <c r="K432" s="25" t="str">
        <f>"00053111"</f>
        <v>00053111</v>
      </c>
    </row>
    <row r="433" spans="1:11" ht="50.25" customHeight="1" x14ac:dyDescent="0.25">
      <c r="A433" s="75"/>
      <c r="B433" s="73"/>
      <c r="C433" s="73"/>
      <c r="D433" s="73"/>
      <c r="E433" s="77"/>
      <c r="F433" s="73"/>
      <c r="G433" s="73"/>
      <c r="H433" s="73"/>
      <c r="I433" s="73"/>
      <c r="J433" s="73"/>
      <c r="K433" s="34" t="s">
        <v>32</v>
      </c>
    </row>
    <row r="434" spans="1:11" ht="30.75" customHeight="1" x14ac:dyDescent="0.25">
      <c r="A434" s="74">
        <v>109</v>
      </c>
      <c r="B434" s="72" t="s">
        <v>905</v>
      </c>
      <c r="C434" s="72" t="s">
        <v>128</v>
      </c>
      <c r="D434" s="72"/>
      <c r="E434" s="76">
        <v>161933</v>
      </c>
      <c r="F434" s="72">
        <v>7</v>
      </c>
      <c r="G434" s="72" t="s">
        <v>911</v>
      </c>
      <c r="H434" s="72" t="s">
        <v>912</v>
      </c>
      <c r="I434" s="72" t="s">
        <v>166</v>
      </c>
      <c r="J434" s="72" t="s">
        <v>894</v>
      </c>
      <c r="K434" s="27" t="str">
        <f>"00053354"</f>
        <v>00053354</v>
      </c>
    </row>
    <row r="435" spans="1:11" ht="30.75" customHeight="1" x14ac:dyDescent="0.25">
      <c r="A435" s="75"/>
      <c r="B435" s="73"/>
      <c r="C435" s="73"/>
      <c r="D435" s="73"/>
      <c r="E435" s="77"/>
      <c r="F435" s="73"/>
      <c r="G435" s="73"/>
      <c r="H435" s="73"/>
      <c r="I435" s="73"/>
      <c r="J435" s="73"/>
      <c r="K435" s="27" t="s">
        <v>32</v>
      </c>
    </row>
    <row r="436" spans="1:11" ht="37.5" customHeight="1" x14ac:dyDescent="0.25">
      <c r="A436" s="74">
        <v>109</v>
      </c>
      <c r="B436" s="72" t="s">
        <v>899</v>
      </c>
      <c r="C436" s="72" t="s">
        <v>128</v>
      </c>
      <c r="D436" s="72"/>
      <c r="E436" s="76">
        <v>80618</v>
      </c>
      <c r="F436" s="72">
        <v>7</v>
      </c>
      <c r="G436" s="72" t="s">
        <v>913</v>
      </c>
      <c r="H436" s="72" t="s">
        <v>202</v>
      </c>
      <c r="I436" s="72" t="s">
        <v>876</v>
      </c>
      <c r="J436" s="72" t="s">
        <v>877</v>
      </c>
      <c r="K436" s="25" t="str">
        <f>"00053525"</f>
        <v>00053525</v>
      </c>
    </row>
    <row r="437" spans="1:11" ht="37.5" customHeight="1" x14ac:dyDescent="0.25">
      <c r="A437" s="75"/>
      <c r="B437" s="73"/>
      <c r="C437" s="73"/>
      <c r="D437" s="73"/>
      <c r="E437" s="77"/>
      <c r="F437" s="73"/>
      <c r="G437" s="73"/>
      <c r="H437" s="73"/>
      <c r="I437" s="73"/>
      <c r="J437" s="73"/>
      <c r="K437" s="34" t="s">
        <v>32</v>
      </c>
    </row>
    <row r="438" spans="1:11" ht="39" customHeight="1" x14ac:dyDescent="0.25">
      <c r="A438" s="74">
        <v>109</v>
      </c>
      <c r="B438" s="72" t="s">
        <v>905</v>
      </c>
      <c r="C438" s="72" t="s">
        <v>128</v>
      </c>
      <c r="D438" s="72"/>
      <c r="E438" s="76">
        <v>70285</v>
      </c>
      <c r="F438" s="72">
        <v>7</v>
      </c>
      <c r="G438" s="72" t="s">
        <v>914</v>
      </c>
      <c r="H438" s="72" t="s">
        <v>915</v>
      </c>
      <c r="I438" s="72" t="s">
        <v>166</v>
      </c>
      <c r="J438" s="72" t="s">
        <v>894</v>
      </c>
      <c r="K438" s="27" t="str">
        <f>"00053646"</f>
        <v>00053646</v>
      </c>
    </row>
    <row r="439" spans="1:11" ht="39" customHeight="1" x14ac:dyDescent="0.25">
      <c r="A439" s="75"/>
      <c r="B439" s="73"/>
      <c r="C439" s="73"/>
      <c r="D439" s="73"/>
      <c r="E439" s="77"/>
      <c r="F439" s="73"/>
      <c r="G439" s="73"/>
      <c r="H439" s="73"/>
      <c r="I439" s="73"/>
      <c r="J439" s="73"/>
      <c r="K439" s="27" t="s">
        <v>32</v>
      </c>
    </row>
    <row r="440" spans="1:11" ht="28.5" customHeight="1" x14ac:dyDescent="0.25">
      <c r="A440" s="74">
        <v>109</v>
      </c>
      <c r="B440" s="72" t="s">
        <v>908</v>
      </c>
      <c r="C440" s="72" t="s">
        <v>128</v>
      </c>
      <c r="D440" s="72"/>
      <c r="E440" s="76">
        <v>4000</v>
      </c>
      <c r="F440" s="72">
        <v>7</v>
      </c>
      <c r="G440" s="72" t="s">
        <v>916</v>
      </c>
      <c r="H440" s="72" t="s">
        <v>917</v>
      </c>
      <c r="I440" s="72" t="s">
        <v>166</v>
      </c>
      <c r="J440" s="72" t="s">
        <v>918</v>
      </c>
      <c r="K440" s="25" t="str">
        <f>"00053637"</f>
        <v>00053637</v>
      </c>
    </row>
    <row r="441" spans="1:11" ht="28.5" customHeight="1" x14ac:dyDescent="0.25">
      <c r="A441" s="75"/>
      <c r="B441" s="73"/>
      <c r="C441" s="73"/>
      <c r="D441" s="73"/>
      <c r="E441" s="77"/>
      <c r="F441" s="73"/>
      <c r="G441" s="73"/>
      <c r="H441" s="73"/>
      <c r="I441" s="73"/>
      <c r="J441" s="73"/>
      <c r="K441" s="27" t="s">
        <v>32</v>
      </c>
    </row>
    <row r="442" spans="1:11" ht="28.5" customHeight="1" x14ac:dyDescent="0.25">
      <c r="A442" s="74">
        <v>109</v>
      </c>
      <c r="B442" s="72" t="s">
        <v>919</v>
      </c>
      <c r="C442" s="72" t="s">
        <v>128</v>
      </c>
      <c r="D442" s="72"/>
      <c r="E442" s="76">
        <v>108117</v>
      </c>
      <c r="F442" s="72">
        <v>7</v>
      </c>
      <c r="G442" s="72" t="s">
        <v>920</v>
      </c>
      <c r="H442" s="72" t="s">
        <v>921</v>
      </c>
      <c r="I442" s="72" t="s">
        <v>166</v>
      </c>
      <c r="J442" s="72" t="s">
        <v>922</v>
      </c>
      <c r="K442" s="25" t="str">
        <f>"00053756"</f>
        <v>00053756</v>
      </c>
    </row>
    <row r="443" spans="1:11" ht="28.5" customHeight="1" x14ac:dyDescent="0.25">
      <c r="A443" s="75"/>
      <c r="B443" s="73"/>
      <c r="C443" s="73"/>
      <c r="D443" s="73"/>
      <c r="E443" s="77"/>
      <c r="F443" s="73"/>
      <c r="G443" s="73"/>
      <c r="H443" s="73"/>
      <c r="I443" s="73"/>
      <c r="J443" s="73"/>
      <c r="K443" s="27" t="s">
        <v>32</v>
      </c>
    </row>
    <row r="444" spans="1:11" ht="28.5" customHeight="1" x14ac:dyDescent="0.25">
      <c r="A444" s="74">
        <v>109</v>
      </c>
      <c r="B444" s="72" t="s">
        <v>908</v>
      </c>
      <c r="C444" s="72" t="s">
        <v>128</v>
      </c>
      <c r="D444" s="72"/>
      <c r="E444" s="76">
        <v>107141</v>
      </c>
      <c r="F444" s="72">
        <v>7</v>
      </c>
      <c r="G444" s="72" t="s">
        <v>923</v>
      </c>
      <c r="H444" s="72" t="s">
        <v>924</v>
      </c>
      <c r="I444" s="72" t="s">
        <v>166</v>
      </c>
      <c r="J444" s="72" t="s">
        <v>925</v>
      </c>
      <c r="K444" s="25" t="str">
        <f>"00053599"</f>
        <v>00053599</v>
      </c>
    </row>
    <row r="445" spans="1:11" ht="28.5" customHeight="1" x14ac:dyDescent="0.25">
      <c r="A445" s="75"/>
      <c r="B445" s="73"/>
      <c r="C445" s="73"/>
      <c r="D445" s="73"/>
      <c r="E445" s="77"/>
      <c r="F445" s="73"/>
      <c r="G445" s="73"/>
      <c r="H445" s="73"/>
      <c r="I445" s="73"/>
      <c r="J445" s="73"/>
      <c r="K445" s="27" t="s">
        <v>32</v>
      </c>
    </row>
    <row r="446" spans="1:11" ht="28.5" customHeight="1" x14ac:dyDescent="0.25">
      <c r="A446" s="74">
        <v>109</v>
      </c>
      <c r="B446" s="72" t="s">
        <v>905</v>
      </c>
      <c r="C446" s="72" t="s">
        <v>128</v>
      </c>
      <c r="D446" s="72"/>
      <c r="E446" s="76">
        <v>8800</v>
      </c>
      <c r="F446" s="72">
        <v>7</v>
      </c>
      <c r="G446" s="72" t="s">
        <v>926</v>
      </c>
      <c r="H446" s="72" t="s">
        <v>927</v>
      </c>
      <c r="I446" s="72" t="s">
        <v>166</v>
      </c>
      <c r="J446" s="72" t="s">
        <v>894</v>
      </c>
      <c r="K446" s="25" t="str">
        <f>"00053930"</f>
        <v>00053930</v>
      </c>
    </row>
    <row r="447" spans="1:11" ht="28.5" customHeight="1" x14ac:dyDescent="0.25">
      <c r="A447" s="75"/>
      <c r="B447" s="73"/>
      <c r="C447" s="73"/>
      <c r="D447" s="73"/>
      <c r="E447" s="77"/>
      <c r="F447" s="73"/>
      <c r="G447" s="73"/>
      <c r="H447" s="73"/>
      <c r="I447" s="73"/>
      <c r="J447" s="73"/>
      <c r="K447" s="27" t="s">
        <v>32</v>
      </c>
    </row>
    <row r="448" spans="1:11" ht="28.5" customHeight="1" x14ac:dyDescent="0.25">
      <c r="A448" s="74">
        <v>109</v>
      </c>
      <c r="B448" s="72" t="s">
        <v>905</v>
      </c>
      <c r="C448" s="72" t="s">
        <v>128</v>
      </c>
      <c r="D448" s="72"/>
      <c r="E448" s="76">
        <v>80325</v>
      </c>
      <c r="F448" s="72">
        <v>7</v>
      </c>
      <c r="G448" s="72" t="s">
        <v>928</v>
      </c>
      <c r="H448" s="72" t="s">
        <v>929</v>
      </c>
      <c r="I448" s="72" t="s">
        <v>166</v>
      </c>
      <c r="J448" s="72" t="s">
        <v>894</v>
      </c>
      <c r="K448" s="25" t="str">
        <f>"00053561"</f>
        <v>00053561</v>
      </c>
    </row>
    <row r="449" spans="1:11" ht="28.5" customHeight="1" x14ac:dyDescent="0.25">
      <c r="A449" s="75"/>
      <c r="B449" s="73"/>
      <c r="C449" s="73"/>
      <c r="D449" s="73"/>
      <c r="E449" s="77"/>
      <c r="F449" s="73"/>
      <c r="G449" s="73"/>
      <c r="H449" s="73"/>
      <c r="I449" s="73"/>
      <c r="J449" s="73"/>
      <c r="K449" s="27" t="s">
        <v>32</v>
      </c>
    </row>
    <row r="450" spans="1:11" ht="56.25" customHeight="1" x14ac:dyDescent="0.25">
      <c r="A450" s="22">
        <v>109</v>
      </c>
      <c r="B450" s="23" t="s">
        <v>930</v>
      </c>
      <c r="C450" s="23" t="s">
        <v>128</v>
      </c>
      <c r="D450" s="23"/>
      <c r="E450" s="24">
        <v>35831</v>
      </c>
      <c r="F450" s="23">
        <v>7</v>
      </c>
      <c r="G450" s="23" t="s">
        <v>931</v>
      </c>
      <c r="H450" s="23" t="s">
        <v>932</v>
      </c>
      <c r="I450" s="23" t="s">
        <v>262</v>
      </c>
      <c r="J450" s="23" t="s">
        <v>640</v>
      </c>
      <c r="K450" s="25" t="str">
        <f>"00053898"</f>
        <v>00053898</v>
      </c>
    </row>
    <row r="451" spans="1:11" ht="113.25" customHeight="1" x14ac:dyDescent="0.25">
      <c r="A451" s="22">
        <v>109</v>
      </c>
      <c r="B451" s="23" t="s">
        <v>933</v>
      </c>
      <c r="C451" s="23" t="s">
        <v>128</v>
      </c>
      <c r="D451" s="23"/>
      <c r="E451" s="24">
        <v>27855</v>
      </c>
      <c r="F451" s="23">
        <v>7</v>
      </c>
      <c r="G451" s="23" t="s">
        <v>934</v>
      </c>
      <c r="H451" s="23" t="s">
        <v>935</v>
      </c>
      <c r="I451" s="23" t="s">
        <v>185</v>
      </c>
      <c r="J451" s="23" t="s">
        <v>936</v>
      </c>
      <c r="K451" s="25" t="str">
        <f>"00053519"</f>
        <v>00053519</v>
      </c>
    </row>
    <row r="452" spans="1:11" ht="72" customHeight="1" x14ac:dyDescent="0.25">
      <c r="A452" s="22">
        <v>109</v>
      </c>
      <c r="B452" s="23" t="s">
        <v>342</v>
      </c>
      <c r="C452" s="23" t="s">
        <v>128</v>
      </c>
      <c r="D452" s="23"/>
      <c r="E452" s="24">
        <v>39547</v>
      </c>
      <c r="F452" s="23">
        <v>7</v>
      </c>
      <c r="G452" s="23" t="s">
        <v>937</v>
      </c>
      <c r="H452" s="23" t="s">
        <v>938</v>
      </c>
      <c r="I452" s="23" t="s">
        <v>488</v>
      </c>
      <c r="J452" s="23" t="s">
        <v>489</v>
      </c>
      <c r="K452" s="25" t="str">
        <f>"00053531"</f>
        <v>00053531</v>
      </c>
    </row>
    <row r="453" spans="1:11" ht="54.75" customHeight="1" x14ac:dyDescent="0.25">
      <c r="A453" s="74">
        <v>109</v>
      </c>
      <c r="B453" s="72" t="s">
        <v>933</v>
      </c>
      <c r="C453" s="72" t="s">
        <v>128</v>
      </c>
      <c r="D453" s="72"/>
      <c r="E453" s="76">
        <v>34512</v>
      </c>
      <c r="F453" s="72">
        <v>7</v>
      </c>
      <c r="G453" s="72" t="s">
        <v>934</v>
      </c>
      <c r="H453" s="72" t="s">
        <v>939</v>
      </c>
      <c r="I453" s="72" t="s">
        <v>185</v>
      </c>
      <c r="J453" s="72" t="s">
        <v>936</v>
      </c>
      <c r="K453" s="25" t="str">
        <f>"00053518"</f>
        <v>00053518</v>
      </c>
    </row>
    <row r="454" spans="1:11" ht="59.25" customHeight="1" x14ac:dyDescent="0.25">
      <c r="A454" s="75"/>
      <c r="B454" s="73"/>
      <c r="C454" s="73"/>
      <c r="D454" s="73"/>
      <c r="E454" s="77"/>
      <c r="F454" s="73"/>
      <c r="G454" s="73"/>
      <c r="H454" s="73"/>
      <c r="I454" s="73"/>
      <c r="J454" s="73"/>
      <c r="K454" s="28" t="s">
        <v>940</v>
      </c>
    </row>
    <row r="455" spans="1:11" ht="116.25" customHeight="1" x14ac:dyDescent="0.25">
      <c r="A455" s="30">
        <v>109</v>
      </c>
      <c r="B455" s="31" t="s">
        <v>941</v>
      </c>
      <c r="C455" s="31" t="s">
        <v>128</v>
      </c>
      <c r="D455" s="31"/>
      <c r="E455" s="32">
        <v>56996</v>
      </c>
      <c r="F455" s="31">
        <v>7</v>
      </c>
      <c r="G455" s="31" t="s">
        <v>942</v>
      </c>
      <c r="H455" s="31" t="s">
        <v>939</v>
      </c>
      <c r="I455" s="31" t="s">
        <v>185</v>
      </c>
      <c r="J455" s="31" t="s">
        <v>936</v>
      </c>
      <c r="K455" s="33" t="str">
        <f>"00053518"</f>
        <v>00053518</v>
      </c>
    </row>
    <row r="456" spans="1:11" ht="109.5" customHeight="1" x14ac:dyDescent="0.25">
      <c r="A456" s="38">
        <v>109</v>
      </c>
      <c r="B456" s="39" t="s">
        <v>941</v>
      </c>
      <c r="C456" s="39" t="s">
        <v>128</v>
      </c>
      <c r="D456" s="39"/>
      <c r="E456" s="40">
        <v>58944</v>
      </c>
      <c r="F456" s="39">
        <v>7</v>
      </c>
      <c r="G456" s="39" t="s">
        <v>942</v>
      </c>
      <c r="H456" s="39" t="s">
        <v>935</v>
      </c>
      <c r="I456" s="39" t="s">
        <v>185</v>
      </c>
      <c r="J456" s="39" t="s">
        <v>936</v>
      </c>
      <c r="K456" s="27" t="str">
        <f>"00053519"</f>
        <v>00053519</v>
      </c>
    </row>
    <row r="457" spans="1:11" ht="98.25" customHeight="1" x14ac:dyDescent="0.25">
      <c r="A457" s="22">
        <v>109</v>
      </c>
      <c r="B457" s="23" t="s">
        <v>298</v>
      </c>
      <c r="C457" s="23" t="s">
        <v>128</v>
      </c>
      <c r="D457" s="23"/>
      <c r="E457" s="24">
        <v>36932</v>
      </c>
      <c r="F457" s="23">
        <v>7</v>
      </c>
      <c r="G457" s="23" t="s">
        <v>943</v>
      </c>
      <c r="H457" s="23" t="s">
        <v>944</v>
      </c>
      <c r="I457" s="23" t="s">
        <v>166</v>
      </c>
      <c r="J457" s="23" t="s">
        <v>181</v>
      </c>
      <c r="K457" s="25" t="str">
        <f>"00053505"</f>
        <v>00053505</v>
      </c>
    </row>
    <row r="458" spans="1:11" ht="14.25" customHeight="1" x14ac:dyDescent="0.25">
      <c r="A458" s="74">
        <v>109</v>
      </c>
      <c r="B458" s="72" t="s">
        <v>945</v>
      </c>
      <c r="C458" s="72" t="s">
        <v>128</v>
      </c>
      <c r="D458" s="72"/>
      <c r="E458" s="76">
        <v>35340</v>
      </c>
      <c r="F458" s="72">
        <v>7</v>
      </c>
      <c r="G458" s="72" t="s">
        <v>946</v>
      </c>
      <c r="H458" s="72" t="s">
        <v>947</v>
      </c>
      <c r="I458" s="72" t="s">
        <v>334</v>
      </c>
      <c r="J458" s="72" t="s">
        <v>335</v>
      </c>
      <c r="K458" s="25" t="str">
        <f>"00053621"</f>
        <v>00053621</v>
      </c>
    </row>
    <row r="459" spans="1:11" ht="38.25" customHeight="1" x14ac:dyDescent="0.25">
      <c r="A459" s="79"/>
      <c r="B459" s="78"/>
      <c r="C459" s="78"/>
      <c r="D459" s="78"/>
      <c r="E459" s="80"/>
      <c r="F459" s="78"/>
      <c r="G459" s="78"/>
      <c r="H459" s="78"/>
      <c r="I459" s="78"/>
      <c r="J459" s="78"/>
      <c r="K459" s="27" t="s">
        <v>948</v>
      </c>
    </row>
    <row r="460" spans="1:11" ht="38.25" customHeight="1" x14ac:dyDescent="0.25">
      <c r="A460" s="75"/>
      <c r="B460" s="73"/>
      <c r="C460" s="73"/>
      <c r="D460" s="73"/>
      <c r="E460" s="77"/>
      <c r="F460" s="73"/>
      <c r="G460" s="73"/>
      <c r="H460" s="73"/>
      <c r="I460" s="73"/>
      <c r="J460" s="73"/>
      <c r="K460" s="27" t="s">
        <v>730</v>
      </c>
    </row>
    <row r="461" spans="1:11" ht="14.25" customHeight="1" x14ac:dyDescent="0.25">
      <c r="A461" s="74">
        <v>109</v>
      </c>
      <c r="B461" s="72" t="s">
        <v>949</v>
      </c>
      <c r="C461" s="72" t="s">
        <v>128</v>
      </c>
      <c r="D461" s="72"/>
      <c r="E461" s="76">
        <v>45229</v>
      </c>
      <c r="F461" s="72">
        <v>7</v>
      </c>
      <c r="G461" s="72" t="s">
        <v>950</v>
      </c>
      <c r="H461" s="72" t="s">
        <v>951</v>
      </c>
      <c r="I461" s="72" t="s">
        <v>166</v>
      </c>
      <c r="J461" s="72" t="s">
        <v>181</v>
      </c>
      <c r="K461" s="25" t="str">
        <f>"00053411"</f>
        <v>00053411</v>
      </c>
    </row>
    <row r="462" spans="1:11" ht="48" customHeight="1" x14ac:dyDescent="0.25">
      <c r="A462" s="75"/>
      <c r="B462" s="73"/>
      <c r="C462" s="73"/>
      <c r="D462" s="73"/>
      <c r="E462" s="77"/>
      <c r="F462" s="73"/>
      <c r="G462" s="73"/>
      <c r="H462" s="73"/>
      <c r="I462" s="73"/>
      <c r="J462" s="73"/>
      <c r="K462" s="28" t="s">
        <v>730</v>
      </c>
    </row>
    <row r="463" spans="1:11" ht="77.25" customHeight="1" x14ac:dyDescent="0.25">
      <c r="A463" s="22">
        <v>109</v>
      </c>
      <c r="B463" s="23" t="s">
        <v>952</v>
      </c>
      <c r="C463" s="23" t="s">
        <v>128</v>
      </c>
      <c r="D463" s="23"/>
      <c r="E463" s="24">
        <v>130827</v>
      </c>
      <c r="F463" s="23">
        <v>7</v>
      </c>
      <c r="G463" s="23" t="s">
        <v>953</v>
      </c>
      <c r="H463" s="23" t="s">
        <v>954</v>
      </c>
      <c r="I463" s="23" t="s">
        <v>142</v>
      </c>
      <c r="J463" s="23" t="s">
        <v>955</v>
      </c>
      <c r="K463" s="25" t="str">
        <f>"00053212"</f>
        <v>00053212</v>
      </c>
    </row>
    <row r="464" spans="1:11" ht="77.25" customHeight="1" x14ac:dyDescent="0.25">
      <c r="A464" s="22">
        <v>109</v>
      </c>
      <c r="B464" s="23" t="s">
        <v>956</v>
      </c>
      <c r="C464" s="23" t="s">
        <v>128</v>
      </c>
      <c r="D464" s="23"/>
      <c r="E464" s="24">
        <v>238787</v>
      </c>
      <c r="F464" s="23">
        <v>7</v>
      </c>
      <c r="G464" s="23" t="s">
        <v>957</v>
      </c>
      <c r="H464" s="23" t="s">
        <v>958</v>
      </c>
      <c r="I464" s="23" t="s">
        <v>349</v>
      </c>
      <c r="J464" s="23" t="s">
        <v>959</v>
      </c>
      <c r="K464" s="25" t="str">
        <f>"00053372"</f>
        <v>00053372</v>
      </c>
    </row>
    <row r="465" spans="1:11" ht="43.5" customHeight="1" x14ac:dyDescent="0.25">
      <c r="A465" s="74">
        <v>109</v>
      </c>
      <c r="B465" s="72" t="s">
        <v>960</v>
      </c>
      <c r="C465" s="72" t="s">
        <v>128</v>
      </c>
      <c r="D465" s="72"/>
      <c r="E465" s="76">
        <v>1100</v>
      </c>
      <c r="F465" s="72">
        <v>7</v>
      </c>
      <c r="G465" s="72" t="s">
        <v>961</v>
      </c>
      <c r="H465" s="72" t="s">
        <v>962</v>
      </c>
      <c r="I465" s="72" t="s">
        <v>488</v>
      </c>
      <c r="J465" s="72" t="s">
        <v>489</v>
      </c>
      <c r="K465" s="25" t="str">
        <f>"00053674"</f>
        <v>00053674</v>
      </c>
    </row>
    <row r="466" spans="1:11" ht="41.1" customHeight="1" x14ac:dyDescent="0.25">
      <c r="A466" s="75"/>
      <c r="B466" s="73"/>
      <c r="C466" s="73"/>
      <c r="D466" s="73"/>
      <c r="E466" s="77"/>
      <c r="F466" s="73"/>
      <c r="G466" s="73"/>
      <c r="H466" s="73"/>
      <c r="I466" s="73"/>
      <c r="J466" s="73"/>
      <c r="K466" s="28" t="s">
        <v>963</v>
      </c>
    </row>
    <row r="467" spans="1:11" ht="43.5" customHeight="1" x14ac:dyDescent="0.25">
      <c r="A467" s="74">
        <v>109</v>
      </c>
      <c r="B467" s="72" t="s">
        <v>960</v>
      </c>
      <c r="C467" s="72" t="s">
        <v>128</v>
      </c>
      <c r="D467" s="72"/>
      <c r="E467" s="76">
        <v>113069</v>
      </c>
      <c r="F467" s="72">
        <v>7</v>
      </c>
      <c r="G467" s="72" t="s">
        <v>964</v>
      </c>
      <c r="H467" s="72" t="s">
        <v>965</v>
      </c>
      <c r="I467" s="72" t="s">
        <v>488</v>
      </c>
      <c r="J467" s="72" t="s">
        <v>489</v>
      </c>
      <c r="K467" s="25" t="str">
        <f>"00053967"</f>
        <v>00053967</v>
      </c>
    </row>
    <row r="468" spans="1:11" ht="43.5" customHeight="1" x14ac:dyDescent="0.25">
      <c r="A468" s="75"/>
      <c r="B468" s="73"/>
      <c r="C468" s="73"/>
      <c r="D468" s="73"/>
      <c r="E468" s="77"/>
      <c r="F468" s="73"/>
      <c r="G468" s="73"/>
      <c r="H468" s="73"/>
      <c r="I468" s="73"/>
      <c r="J468" s="73"/>
      <c r="K468" s="28" t="s">
        <v>464</v>
      </c>
    </row>
    <row r="469" spans="1:11" ht="70.5" customHeight="1" x14ac:dyDescent="0.25">
      <c r="A469" s="74">
        <v>109</v>
      </c>
      <c r="B469" s="72" t="s">
        <v>966</v>
      </c>
      <c r="C469" s="72" t="s">
        <v>128</v>
      </c>
      <c r="D469" s="72"/>
      <c r="E469" s="76">
        <v>147318</v>
      </c>
      <c r="F469" s="72">
        <v>7</v>
      </c>
      <c r="G469" s="72" t="s">
        <v>967</v>
      </c>
      <c r="H469" s="72" t="s">
        <v>968</v>
      </c>
      <c r="I469" s="72" t="s">
        <v>399</v>
      </c>
      <c r="J469" s="72" t="s">
        <v>400</v>
      </c>
      <c r="K469" s="25" t="str">
        <f>"00053547"</f>
        <v>00053547</v>
      </c>
    </row>
    <row r="470" spans="1:11" ht="60" customHeight="1" x14ac:dyDescent="0.25">
      <c r="A470" s="86"/>
      <c r="B470" s="85"/>
      <c r="C470" s="85"/>
      <c r="D470" s="85"/>
      <c r="E470" s="87"/>
      <c r="F470" s="85"/>
      <c r="G470" s="85"/>
      <c r="H470" s="85"/>
      <c r="I470" s="85"/>
      <c r="J470" s="85"/>
      <c r="K470" s="34" t="s">
        <v>464</v>
      </c>
    </row>
    <row r="471" spans="1:11" ht="54.75" customHeight="1" x14ac:dyDescent="0.25">
      <c r="A471" s="38">
        <v>109</v>
      </c>
      <c r="B471" s="39" t="s">
        <v>969</v>
      </c>
      <c r="C471" s="39" t="s">
        <v>128</v>
      </c>
      <c r="D471" s="39"/>
      <c r="E471" s="40">
        <v>80000</v>
      </c>
      <c r="F471" s="39">
        <v>7</v>
      </c>
      <c r="G471" s="39" t="s">
        <v>970</v>
      </c>
      <c r="H471" s="39" t="s">
        <v>971</v>
      </c>
      <c r="I471" s="39" t="s">
        <v>166</v>
      </c>
      <c r="J471" s="39" t="s">
        <v>181</v>
      </c>
      <c r="K471" s="27" t="str">
        <f>"00053346"</f>
        <v>00053346</v>
      </c>
    </row>
    <row r="472" spans="1:11" ht="18" customHeight="1" x14ac:dyDescent="0.25">
      <c r="A472" s="74">
        <v>109</v>
      </c>
      <c r="B472" s="72" t="s">
        <v>972</v>
      </c>
      <c r="C472" s="72" t="s">
        <v>128</v>
      </c>
      <c r="D472" s="72"/>
      <c r="E472" s="76">
        <v>100000</v>
      </c>
      <c r="F472" s="72">
        <v>7</v>
      </c>
      <c r="G472" s="72" t="s">
        <v>973</v>
      </c>
      <c r="H472" s="72" t="s">
        <v>974</v>
      </c>
      <c r="I472" s="72" t="s">
        <v>166</v>
      </c>
      <c r="J472" s="72" t="s">
        <v>181</v>
      </c>
      <c r="K472" s="25" t="str">
        <f>"00053500"</f>
        <v>00053500</v>
      </c>
    </row>
    <row r="473" spans="1:11" ht="119.25" customHeight="1" x14ac:dyDescent="0.25">
      <c r="A473" s="75"/>
      <c r="B473" s="73"/>
      <c r="C473" s="73"/>
      <c r="D473" s="73"/>
      <c r="E473" s="77"/>
      <c r="F473" s="73"/>
      <c r="G473" s="73"/>
      <c r="H473" s="73"/>
      <c r="I473" s="73"/>
      <c r="J473" s="73"/>
      <c r="K473" s="28" t="s">
        <v>975</v>
      </c>
    </row>
    <row r="474" spans="1:11" ht="24" customHeight="1" x14ac:dyDescent="0.25">
      <c r="A474" s="74">
        <v>109</v>
      </c>
      <c r="B474" s="72" t="s">
        <v>976</v>
      </c>
      <c r="C474" s="72" t="s">
        <v>128</v>
      </c>
      <c r="D474" s="72"/>
      <c r="E474" s="76">
        <v>102119</v>
      </c>
      <c r="F474" s="72">
        <v>7</v>
      </c>
      <c r="G474" s="72" t="s">
        <v>977</v>
      </c>
      <c r="H474" s="72" t="s">
        <v>978</v>
      </c>
      <c r="I474" s="72" t="s">
        <v>166</v>
      </c>
      <c r="J474" s="72" t="s">
        <v>979</v>
      </c>
      <c r="K474" s="25" t="str">
        <f>"00051924"</f>
        <v>00051924</v>
      </c>
    </row>
    <row r="475" spans="1:11" ht="24" customHeight="1" x14ac:dyDescent="0.25">
      <c r="A475" s="75"/>
      <c r="B475" s="73"/>
      <c r="C475" s="73"/>
      <c r="D475" s="73"/>
      <c r="E475" s="77"/>
      <c r="F475" s="73"/>
      <c r="G475" s="73"/>
      <c r="H475" s="73"/>
      <c r="I475" s="73"/>
      <c r="J475" s="73"/>
      <c r="K475" s="27" t="s">
        <v>32</v>
      </c>
    </row>
    <row r="476" spans="1:11" ht="30" customHeight="1" x14ac:dyDescent="0.25">
      <c r="A476" s="74">
        <v>109</v>
      </c>
      <c r="B476" s="72" t="s">
        <v>980</v>
      </c>
      <c r="C476" s="72" t="s">
        <v>128</v>
      </c>
      <c r="D476" s="72"/>
      <c r="E476" s="76">
        <v>32282</v>
      </c>
      <c r="F476" s="72">
        <v>7</v>
      </c>
      <c r="G476" s="72" t="s">
        <v>981</v>
      </c>
      <c r="H476" s="72" t="s">
        <v>630</v>
      </c>
      <c r="I476" s="72" t="s">
        <v>197</v>
      </c>
      <c r="J476" s="72" t="s">
        <v>197</v>
      </c>
      <c r="K476" s="25" t="str">
        <f>"00053958"</f>
        <v>00053958</v>
      </c>
    </row>
    <row r="477" spans="1:11" ht="27" customHeight="1" x14ac:dyDescent="0.25">
      <c r="A477" s="75"/>
      <c r="B477" s="73"/>
      <c r="C477" s="73"/>
      <c r="D477" s="73"/>
      <c r="E477" s="77"/>
      <c r="F477" s="73"/>
      <c r="G477" s="73"/>
      <c r="H477" s="73"/>
      <c r="I477" s="73"/>
      <c r="J477" s="73"/>
      <c r="K477" s="27" t="s">
        <v>32</v>
      </c>
    </row>
    <row r="478" spans="1:11" ht="37.5" customHeight="1" x14ac:dyDescent="0.25">
      <c r="A478" s="74">
        <v>109</v>
      </c>
      <c r="B478" s="72" t="s">
        <v>982</v>
      </c>
      <c r="C478" s="72" t="s">
        <v>128</v>
      </c>
      <c r="D478" s="72"/>
      <c r="E478" s="76">
        <v>63328</v>
      </c>
      <c r="F478" s="72">
        <v>7</v>
      </c>
      <c r="G478" s="72" t="s">
        <v>983</v>
      </c>
      <c r="H478" s="72" t="s">
        <v>984</v>
      </c>
      <c r="I478" s="72" t="s">
        <v>262</v>
      </c>
      <c r="J478" s="72" t="s">
        <v>985</v>
      </c>
      <c r="K478" s="25" t="str">
        <f>"00052541"</f>
        <v>00052541</v>
      </c>
    </row>
    <row r="479" spans="1:11" ht="33.75" customHeight="1" x14ac:dyDescent="0.25">
      <c r="A479" s="75"/>
      <c r="B479" s="73"/>
      <c r="C479" s="73"/>
      <c r="D479" s="73"/>
      <c r="E479" s="77"/>
      <c r="F479" s="73"/>
      <c r="G479" s="73"/>
      <c r="H479" s="73"/>
      <c r="I479" s="73"/>
      <c r="J479" s="73"/>
      <c r="K479" s="27" t="s">
        <v>32</v>
      </c>
    </row>
    <row r="480" spans="1:11" ht="24" customHeight="1" x14ac:dyDescent="0.25">
      <c r="A480" s="74">
        <v>109</v>
      </c>
      <c r="B480" s="72" t="s">
        <v>986</v>
      </c>
      <c r="C480" s="72" t="s">
        <v>128</v>
      </c>
      <c r="D480" s="72"/>
      <c r="E480" s="76">
        <v>147777</v>
      </c>
      <c r="F480" s="72">
        <v>7</v>
      </c>
      <c r="G480" s="72" t="s">
        <v>987</v>
      </c>
      <c r="H480" s="72" t="s">
        <v>988</v>
      </c>
      <c r="I480" s="72" t="s">
        <v>142</v>
      </c>
      <c r="J480" s="72" t="s">
        <v>712</v>
      </c>
      <c r="K480" s="25" t="str">
        <f>"00053236"</f>
        <v>00053236</v>
      </c>
    </row>
    <row r="481" spans="1:11" ht="23.25" customHeight="1" x14ac:dyDescent="0.25">
      <c r="A481" s="75"/>
      <c r="B481" s="73"/>
      <c r="C481" s="73"/>
      <c r="D481" s="73"/>
      <c r="E481" s="77"/>
      <c r="F481" s="73"/>
      <c r="G481" s="73"/>
      <c r="H481" s="73"/>
      <c r="I481" s="73"/>
      <c r="J481" s="73"/>
      <c r="K481" s="27" t="s">
        <v>32</v>
      </c>
    </row>
    <row r="482" spans="1:11" ht="51" customHeight="1" x14ac:dyDescent="0.25">
      <c r="A482" s="22">
        <v>109</v>
      </c>
      <c r="B482" s="23" t="s">
        <v>989</v>
      </c>
      <c r="C482" s="23" t="s">
        <v>128</v>
      </c>
      <c r="D482" s="23"/>
      <c r="E482" s="24">
        <v>60000</v>
      </c>
      <c r="F482" s="23">
        <v>7</v>
      </c>
      <c r="G482" s="23" t="s">
        <v>843</v>
      </c>
      <c r="H482" s="23" t="s">
        <v>844</v>
      </c>
      <c r="I482" s="23" t="s">
        <v>142</v>
      </c>
      <c r="J482" s="23" t="s">
        <v>845</v>
      </c>
      <c r="K482" s="25" t="str">
        <f>"00054383"</f>
        <v>00054383</v>
      </c>
    </row>
    <row r="483" spans="1:11" ht="12.75" customHeight="1" x14ac:dyDescent="0.25">
      <c r="A483" s="74">
        <v>109</v>
      </c>
      <c r="B483" s="72" t="s">
        <v>990</v>
      </c>
      <c r="C483" s="72" t="s">
        <v>128</v>
      </c>
      <c r="D483" s="72"/>
      <c r="E483" s="76">
        <v>477237</v>
      </c>
      <c r="F483" s="72">
        <v>7</v>
      </c>
      <c r="G483" s="72" t="s">
        <v>991</v>
      </c>
      <c r="H483" s="72" t="s">
        <v>992</v>
      </c>
      <c r="I483" s="72" t="s">
        <v>993</v>
      </c>
      <c r="J483" s="72" t="s">
        <v>994</v>
      </c>
      <c r="K483" s="25" t="str">
        <f>"00048807"</f>
        <v>00048807</v>
      </c>
    </row>
    <row r="484" spans="1:11" ht="76.5" customHeight="1" x14ac:dyDescent="0.25">
      <c r="A484" s="75"/>
      <c r="B484" s="73"/>
      <c r="C484" s="73"/>
      <c r="D484" s="73"/>
      <c r="E484" s="77"/>
      <c r="F484" s="73"/>
      <c r="G484" s="73"/>
      <c r="H484" s="73"/>
      <c r="I484" s="73"/>
      <c r="J484" s="73"/>
      <c r="K484" s="52" t="s">
        <v>995</v>
      </c>
    </row>
    <row r="485" spans="1:11" ht="48.75" customHeight="1" x14ac:dyDescent="0.25">
      <c r="A485" s="74">
        <v>109</v>
      </c>
      <c r="B485" s="72" t="s">
        <v>996</v>
      </c>
      <c r="C485" s="72" t="s">
        <v>128</v>
      </c>
      <c r="D485" s="72"/>
      <c r="E485" s="76">
        <v>30139</v>
      </c>
      <c r="F485" s="72">
        <v>7</v>
      </c>
      <c r="G485" s="72" t="s">
        <v>997</v>
      </c>
      <c r="H485" s="72" t="s">
        <v>998</v>
      </c>
      <c r="I485" s="72" t="s">
        <v>999</v>
      </c>
      <c r="J485" s="72" t="s">
        <v>1000</v>
      </c>
      <c r="K485" s="25" t="str">
        <f>"00054068"</f>
        <v>00054068</v>
      </c>
    </row>
    <row r="486" spans="1:11" ht="51.75" customHeight="1" x14ac:dyDescent="0.25">
      <c r="A486" s="75"/>
      <c r="B486" s="73"/>
      <c r="C486" s="73"/>
      <c r="D486" s="73"/>
      <c r="E486" s="77"/>
      <c r="F486" s="73"/>
      <c r="G486" s="73"/>
      <c r="H486" s="73"/>
      <c r="I486" s="73"/>
      <c r="J486" s="73"/>
      <c r="K486" s="53" t="s">
        <v>1001</v>
      </c>
    </row>
    <row r="487" spans="1:11" ht="36" customHeight="1" x14ac:dyDescent="0.25">
      <c r="A487" s="74">
        <v>109</v>
      </c>
      <c r="B487" s="72" t="s">
        <v>505</v>
      </c>
      <c r="C487" s="72" t="s">
        <v>128</v>
      </c>
      <c r="D487" s="72"/>
      <c r="E487" s="76">
        <v>25192</v>
      </c>
      <c r="F487" s="72">
        <v>7</v>
      </c>
      <c r="G487" s="72" t="s">
        <v>1002</v>
      </c>
      <c r="H487" s="72" t="s">
        <v>507</v>
      </c>
      <c r="I487" s="72" t="s">
        <v>334</v>
      </c>
      <c r="J487" s="72" t="s">
        <v>335</v>
      </c>
      <c r="K487" s="25" t="str">
        <f>"00053543"</f>
        <v>00053543</v>
      </c>
    </row>
    <row r="488" spans="1:11" ht="36" customHeight="1" x14ac:dyDescent="0.25">
      <c r="A488" s="75"/>
      <c r="B488" s="73"/>
      <c r="C488" s="73"/>
      <c r="D488" s="73"/>
      <c r="E488" s="77"/>
      <c r="F488" s="73"/>
      <c r="G488" s="73"/>
      <c r="H488" s="73"/>
      <c r="I488" s="73"/>
      <c r="J488" s="73"/>
      <c r="K488" s="27" t="s">
        <v>32</v>
      </c>
    </row>
    <row r="489" spans="1:11" ht="35.25" customHeight="1" x14ac:dyDescent="0.25">
      <c r="A489" s="74">
        <v>109</v>
      </c>
      <c r="B489" s="72" t="s">
        <v>505</v>
      </c>
      <c r="C489" s="72" t="s">
        <v>128</v>
      </c>
      <c r="D489" s="72"/>
      <c r="E489" s="76">
        <v>25624</v>
      </c>
      <c r="F489" s="72">
        <v>7</v>
      </c>
      <c r="G489" s="72" t="s">
        <v>1003</v>
      </c>
      <c r="H489" s="72" t="s">
        <v>509</v>
      </c>
      <c r="I489" s="72" t="s">
        <v>166</v>
      </c>
      <c r="J489" s="72" t="s">
        <v>181</v>
      </c>
      <c r="K489" s="25" t="str">
        <f>"00053414"</f>
        <v>00053414</v>
      </c>
    </row>
    <row r="490" spans="1:11" ht="30.75" customHeight="1" x14ac:dyDescent="0.25">
      <c r="A490" s="86"/>
      <c r="B490" s="85"/>
      <c r="C490" s="85"/>
      <c r="D490" s="85"/>
      <c r="E490" s="87"/>
      <c r="F490" s="85"/>
      <c r="G490" s="85"/>
      <c r="H490" s="85"/>
      <c r="I490" s="85"/>
      <c r="J490" s="85"/>
      <c r="K490" s="34" t="s">
        <v>32</v>
      </c>
    </row>
    <row r="491" spans="1:11" ht="71.25" customHeight="1" x14ac:dyDescent="0.25">
      <c r="A491" s="38">
        <v>109</v>
      </c>
      <c r="B491" s="39" t="s">
        <v>1004</v>
      </c>
      <c r="C491" s="39" t="s">
        <v>128</v>
      </c>
      <c r="D491" s="39"/>
      <c r="E491" s="40">
        <v>421119</v>
      </c>
      <c r="F491" s="39">
        <v>7</v>
      </c>
      <c r="G491" s="39" t="s">
        <v>1005</v>
      </c>
      <c r="H491" s="39" t="s">
        <v>1006</v>
      </c>
      <c r="I491" s="39" t="s">
        <v>142</v>
      </c>
      <c r="J491" s="39" t="s">
        <v>1007</v>
      </c>
      <c r="K491" s="27" t="str">
        <f>"00048263"</f>
        <v>00048263</v>
      </c>
    </row>
    <row r="492" spans="1:11" ht="28.5" customHeight="1" x14ac:dyDescent="0.25">
      <c r="A492" s="74">
        <v>109</v>
      </c>
      <c r="B492" s="72" t="s">
        <v>1008</v>
      </c>
      <c r="C492" s="72" t="s">
        <v>128</v>
      </c>
      <c r="D492" s="72"/>
      <c r="E492" s="76">
        <v>104096</v>
      </c>
      <c r="F492" s="72">
        <v>7</v>
      </c>
      <c r="G492" s="72" t="s">
        <v>1009</v>
      </c>
      <c r="H492" s="72" t="s">
        <v>1010</v>
      </c>
      <c r="I492" s="72" t="s">
        <v>166</v>
      </c>
      <c r="J492" s="72" t="s">
        <v>1011</v>
      </c>
      <c r="K492" s="25" t="str">
        <f>"00053495"</f>
        <v>00053495</v>
      </c>
    </row>
    <row r="493" spans="1:11" ht="33" customHeight="1" x14ac:dyDescent="0.25">
      <c r="A493" s="75"/>
      <c r="B493" s="73"/>
      <c r="C493" s="73"/>
      <c r="D493" s="73"/>
      <c r="E493" s="77"/>
      <c r="F493" s="73"/>
      <c r="G493" s="73"/>
      <c r="H493" s="73"/>
      <c r="I493" s="73"/>
      <c r="J493" s="73"/>
      <c r="K493" s="27" t="s">
        <v>32</v>
      </c>
    </row>
    <row r="494" spans="1:11" ht="28.5" customHeight="1" x14ac:dyDescent="0.25">
      <c r="A494" s="74">
        <v>109</v>
      </c>
      <c r="B494" s="72" t="s">
        <v>1008</v>
      </c>
      <c r="C494" s="72" t="s">
        <v>128</v>
      </c>
      <c r="D494" s="72"/>
      <c r="E494" s="76">
        <v>56164</v>
      </c>
      <c r="F494" s="72">
        <v>7</v>
      </c>
      <c r="G494" s="72" t="s">
        <v>1012</v>
      </c>
      <c r="H494" s="72" t="s">
        <v>1013</v>
      </c>
      <c r="I494" s="72" t="s">
        <v>166</v>
      </c>
      <c r="J494" s="72" t="s">
        <v>1014</v>
      </c>
      <c r="K494" s="25" t="str">
        <f>"00053497"</f>
        <v>00053497</v>
      </c>
    </row>
    <row r="495" spans="1:11" ht="33.75" customHeight="1" x14ac:dyDescent="0.25">
      <c r="A495" s="75"/>
      <c r="B495" s="73"/>
      <c r="C495" s="73"/>
      <c r="D495" s="73"/>
      <c r="E495" s="77"/>
      <c r="F495" s="73"/>
      <c r="G495" s="73"/>
      <c r="H495" s="73"/>
      <c r="I495" s="73"/>
      <c r="J495" s="73"/>
      <c r="K495" s="27" t="s">
        <v>32</v>
      </c>
    </row>
    <row r="496" spans="1:11" ht="28.5" customHeight="1" x14ac:dyDescent="0.25">
      <c r="A496" s="74">
        <v>109</v>
      </c>
      <c r="B496" s="72" t="s">
        <v>1008</v>
      </c>
      <c r="C496" s="72" t="s">
        <v>128</v>
      </c>
      <c r="D496" s="72"/>
      <c r="E496" s="76">
        <v>68941</v>
      </c>
      <c r="F496" s="72">
        <v>7</v>
      </c>
      <c r="G496" s="72" t="s">
        <v>1015</v>
      </c>
      <c r="H496" s="72" t="s">
        <v>1010</v>
      </c>
      <c r="I496" s="72" t="s">
        <v>166</v>
      </c>
      <c r="J496" s="72" t="s">
        <v>1016</v>
      </c>
      <c r="K496" s="25" t="str">
        <f>"00053496"</f>
        <v>00053496</v>
      </c>
    </row>
    <row r="497" spans="1:11" ht="32.25" customHeight="1" x14ac:dyDescent="0.25">
      <c r="A497" s="75"/>
      <c r="B497" s="73"/>
      <c r="C497" s="73"/>
      <c r="D497" s="73"/>
      <c r="E497" s="77"/>
      <c r="F497" s="73"/>
      <c r="G497" s="73"/>
      <c r="H497" s="73"/>
      <c r="I497" s="73"/>
      <c r="J497" s="73"/>
      <c r="K497" s="27" t="s">
        <v>32</v>
      </c>
    </row>
    <row r="498" spans="1:11" ht="28.5" customHeight="1" x14ac:dyDescent="0.25">
      <c r="A498" s="74">
        <v>109</v>
      </c>
      <c r="B498" s="72" t="s">
        <v>1017</v>
      </c>
      <c r="C498" s="72" t="s">
        <v>128</v>
      </c>
      <c r="D498" s="72"/>
      <c r="E498" s="76">
        <v>53866</v>
      </c>
      <c r="F498" s="72">
        <v>7</v>
      </c>
      <c r="G498" s="72" t="s">
        <v>1018</v>
      </c>
      <c r="H498" s="72" t="s">
        <v>1019</v>
      </c>
      <c r="I498" s="72" t="s">
        <v>1020</v>
      </c>
      <c r="J498" s="72" t="s">
        <v>1021</v>
      </c>
      <c r="K498" s="25" t="str">
        <f>"00053831"</f>
        <v>00053831</v>
      </c>
    </row>
    <row r="499" spans="1:11" ht="34.5" customHeight="1" x14ac:dyDescent="0.25">
      <c r="A499" s="75"/>
      <c r="B499" s="73"/>
      <c r="C499" s="73"/>
      <c r="D499" s="73"/>
      <c r="E499" s="77"/>
      <c r="F499" s="73"/>
      <c r="G499" s="73"/>
      <c r="H499" s="73"/>
      <c r="I499" s="73"/>
      <c r="J499" s="73"/>
      <c r="K499" s="27" t="s">
        <v>32</v>
      </c>
    </row>
    <row r="500" spans="1:11" ht="28.5" customHeight="1" x14ac:dyDescent="0.25">
      <c r="A500" s="74">
        <v>109</v>
      </c>
      <c r="B500" s="72" t="s">
        <v>1017</v>
      </c>
      <c r="C500" s="72" t="s">
        <v>128</v>
      </c>
      <c r="D500" s="72"/>
      <c r="E500" s="76">
        <v>53866</v>
      </c>
      <c r="F500" s="72">
        <v>7</v>
      </c>
      <c r="G500" s="72" t="s">
        <v>1018</v>
      </c>
      <c r="H500" s="72" t="s">
        <v>1019</v>
      </c>
      <c r="I500" s="72" t="s">
        <v>1020</v>
      </c>
      <c r="J500" s="72" t="s">
        <v>1021</v>
      </c>
      <c r="K500" s="25" t="str">
        <f>"00053830"</f>
        <v>00053830</v>
      </c>
    </row>
    <row r="501" spans="1:11" ht="35.25" customHeight="1" x14ac:dyDescent="0.25">
      <c r="A501" s="75"/>
      <c r="B501" s="73"/>
      <c r="C501" s="73"/>
      <c r="D501" s="73"/>
      <c r="E501" s="77"/>
      <c r="F501" s="73"/>
      <c r="G501" s="73"/>
      <c r="H501" s="73"/>
      <c r="I501" s="73"/>
      <c r="J501" s="73"/>
      <c r="K501" s="27" t="s">
        <v>32</v>
      </c>
    </row>
    <row r="502" spans="1:11" ht="14.25" customHeight="1" x14ac:dyDescent="0.25">
      <c r="A502" s="74">
        <v>109</v>
      </c>
      <c r="B502" s="72" t="s">
        <v>1022</v>
      </c>
      <c r="C502" s="72" t="s">
        <v>128</v>
      </c>
      <c r="D502" s="72"/>
      <c r="E502" s="76">
        <v>90000</v>
      </c>
      <c r="F502" s="72">
        <v>7</v>
      </c>
      <c r="G502" s="72" t="s">
        <v>1023</v>
      </c>
      <c r="H502" s="72" t="s">
        <v>1024</v>
      </c>
      <c r="I502" s="72" t="s">
        <v>166</v>
      </c>
      <c r="J502" s="72" t="s">
        <v>1025</v>
      </c>
      <c r="K502" s="25" t="str">
        <f>"00053279"</f>
        <v>00053279</v>
      </c>
    </row>
    <row r="503" spans="1:11" ht="35.25" customHeight="1" x14ac:dyDescent="0.25">
      <c r="A503" s="75"/>
      <c r="B503" s="73"/>
      <c r="C503" s="73"/>
      <c r="D503" s="73"/>
      <c r="E503" s="77"/>
      <c r="F503" s="73"/>
      <c r="G503" s="73"/>
      <c r="H503" s="73"/>
      <c r="I503" s="73"/>
      <c r="J503" s="73"/>
      <c r="K503" s="28" t="s">
        <v>376</v>
      </c>
    </row>
    <row r="504" spans="1:11" ht="63.75" customHeight="1" x14ac:dyDescent="0.25">
      <c r="A504" s="22">
        <v>109</v>
      </c>
      <c r="B504" s="23" t="s">
        <v>1026</v>
      </c>
      <c r="C504" s="23" t="s">
        <v>128</v>
      </c>
      <c r="D504" s="23"/>
      <c r="E504" s="24">
        <v>626543</v>
      </c>
      <c r="F504" s="23">
        <v>7</v>
      </c>
      <c r="G504" s="23" t="s">
        <v>1027</v>
      </c>
      <c r="H504" s="23" t="s">
        <v>1028</v>
      </c>
      <c r="I504" s="23" t="s">
        <v>707</v>
      </c>
      <c r="J504" s="23" t="s">
        <v>1029</v>
      </c>
      <c r="K504" s="25" t="str">
        <f>"00052359"</f>
        <v>00052359</v>
      </c>
    </row>
    <row r="505" spans="1:11" ht="69" customHeight="1" x14ac:dyDescent="0.25">
      <c r="A505" s="22">
        <v>109</v>
      </c>
      <c r="B505" s="23" t="s">
        <v>1030</v>
      </c>
      <c r="C505" s="23" t="s">
        <v>128</v>
      </c>
      <c r="D505" s="23"/>
      <c r="E505" s="24">
        <v>250000</v>
      </c>
      <c r="F505" s="23">
        <v>7</v>
      </c>
      <c r="G505" s="23" t="s">
        <v>1031</v>
      </c>
      <c r="H505" s="23" t="s">
        <v>1032</v>
      </c>
      <c r="I505" s="23" t="s">
        <v>142</v>
      </c>
      <c r="J505" s="23" t="s">
        <v>828</v>
      </c>
      <c r="K505" s="25" t="str">
        <f>"00054035"</f>
        <v>00054035</v>
      </c>
    </row>
    <row r="506" spans="1:11" ht="72.75" customHeight="1" x14ac:dyDescent="0.25">
      <c r="A506" s="22">
        <v>109</v>
      </c>
      <c r="B506" s="23" t="s">
        <v>1033</v>
      </c>
      <c r="C506" s="23" t="s">
        <v>128</v>
      </c>
      <c r="D506" s="23"/>
      <c r="E506" s="24">
        <v>39208</v>
      </c>
      <c r="F506" s="23">
        <v>7</v>
      </c>
      <c r="G506" s="23" t="s">
        <v>1034</v>
      </c>
      <c r="H506" s="23" t="s">
        <v>1035</v>
      </c>
      <c r="I506" s="23" t="s">
        <v>804</v>
      </c>
      <c r="J506" s="23" t="s">
        <v>1036</v>
      </c>
      <c r="K506" s="25" t="str">
        <f>"00052707"</f>
        <v>00052707</v>
      </c>
    </row>
    <row r="507" spans="1:11" ht="69.75" customHeight="1" x14ac:dyDescent="0.25">
      <c r="A507" s="22">
        <v>109</v>
      </c>
      <c r="B507" s="23" t="s">
        <v>1037</v>
      </c>
      <c r="C507" s="23" t="s">
        <v>128</v>
      </c>
      <c r="D507" s="23"/>
      <c r="E507" s="24">
        <v>30143</v>
      </c>
      <c r="F507" s="23">
        <v>7</v>
      </c>
      <c r="G507" s="23" t="s">
        <v>1038</v>
      </c>
      <c r="H507" s="23" t="s">
        <v>1039</v>
      </c>
      <c r="I507" s="23" t="s">
        <v>386</v>
      </c>
      <c r="J507" s="23" t="s">
        <v>1040</v>
      </c>
      <c r="K507" s="25" t="str">
        <f>"00053027"</f>
        <v>00053027</v>
      </c>
    </row>
    <row r="508" spans="1:11" ht="64.5" customHeight="1" x14ac:dyDescent="0.25">
      <c r="A508" s="22">
        <v>109</v>
      </c>
      <c r="B508" s="23" t="s">
        <v>1041</v>
      </c>
      <c r="C508" s="23" t="s">
        <v>128</v>
      </c>
      <c r="D508" s="23"/>
      <c r="E508" s="24">
        <v>33499</v>
      </c>
      <c r="F508" s="23">
        <v>7</v>
      </c>
      <c r="G508" s="23" t="s">
        <v>1042</v>
      </c>
      <c r="H508" s="23" t="s">
        <v>1043</v>
      </c>
      <c r="I508" s="23" t="s">
        <v>166</v>
      </c>
      <c r="J508" s="23" t="s">
        <v>1044</v>
      </c>
      <c r="K508" s="25" t="str">
        <f>"00053410"</f>
        <v>00053410</v>
      </c>
    </row>
    <row r="509" spans="1:11" ht="65.25" customHeight="1" x14ac:dyDescent="0.25">
      <c r="A509" s="30">
        <v>109</v>
      </c>
      <c r="B509" s="31" t="s">
        <v>586</v>
      </c>
      <c r="C509" s="31" t="s">
        <v>128</v>
      </c>
      <c r="D509" s="31"/>
      <c r="E509" s="32">
        <v>44136</v>
      </c>
      <c r="F509" s="31">
        <v>7</v>
      </c>
      <c r="G509" s="31" t="s">
        <v>1045</v>
      </c>
      <c r="H509" s="31" t="s">
        <v>412</v>
      </c>
      <c r="I509" s="31" t="s">
        <v>166</v>
      </c>
      <c r="J509" s="31" t="s">
        <v>181</v>
      </c>
      <c r="K509" s="33" t="str">
        <f>"00053732"</f>
        <v>00053732</v>
      </c>
    </row>
    <row r="510" spans="1:11" ht="99" customHeight="1" x14ac:dyDescent="0.25">
      <c r="A510" s="38">
        <v>109</v>
      </c>
      <c r="B510" s="39" t="s">
        <v>1046</v>
      </c>
      <c r="C510" s="39" t="s">
        <v>128</v>
      </c>
      <c r="D510" s="39"/>
      <c r="E510" s="40">
        <v>51614</v>
      </c>
      <c r="F510" s="39">
        <v>7</v>
      </c>
      <c r="G510" s="39" t="s">
        <v>1047</v>
      </c>
      <c r="H510" s="39" t="s">
        <v>1048</v>
      </c>
      <c r="I510" s="39" t="s">
        <v>142</v>
      </c>
      <c r="J510" s="39" t="s">
        <v>1007</v>
      </c>
      <c r="K510" s="27" t="str">
        <f>"00053777"</f>
        <v>00053777</v>
      </c>
    </row>
    <row r="511" spans="1:11" ht="62.25" customHeight="1" x14ac:dyDescent="0.25">
      <c r="A511" s="22">
        <v>109</v>
      </c>
      <c r="B511" s="23" t="s">
        <v>571</v>
      </c>
      <c r="C511" s="23" t="s">
        <v>128</v>
      </c>
      <c r="D511" s="23"/>
      <c r="E511" s="24">
        <v>43064</v>
      </c>
      <c r="F511" s="23">
        <v>7</v>
      </c>
      <c r="G511" s="23" t="s">
        <v>1049</v>
      </c>
      <c r="H511" s="23" t="s">
        <v>1050</v>
      </c>
      <c r="I511" s="23" t="s">
        <v>142</v>
      </c>
      <c r="J511" s="23" t="s">
        <v>391</v>
      </c>
      <c r="K511" s="25" t="str">
        <f>"00053450"</f>
        <v>00053450</v>
      </c>
    </row>
    <row r="512" spans="1:11" ht="63.75" customHeight="1" x14ac:dyDescent="0.25">
      <c r="A512" s="22">
        <v>109</v>
      </c>
      <c r="B512" s="23" t="s">
        <v>554</v>
      </c>
      <c r="C512" s="23" t="s">
        <v>128</v>
      </c>
      <c r="D512" s="23"/>
      <c r="E512" s="24">
        <v>131451</v>
      </c>
      <c r="F512" s="23">
        <v>7</v>
      </c>
      <c r="G512" s="23" t="s">
        <v>1051</v>
      </c>
      <c r="H512" s="23" t="s">
        <v>1052</v>
      </c>
      <c r="I512" s="23" t="s">
        <v>142</v>
      </c>
      <c r="J512" s="23" t="s">
        <v>828</v>
      </c>
      <c r="K512" s="25" t="str">
        <f>"00053849"</f>
        <v>00053849</v>
      </c>
    </row>
    <row r="513" spans="1:11" ht="66" customHeight="1" x14ac:dyDescent="0.25">
      <c r="A513" s="22">
        <v>109</v>
      </c>
      <c r="B513" s="23" t="s">
        <v>571</v>
      </c>
      <c r="C513" s="23" t="s">
        <v>128</v>
      </c>
      <c r="D513" s="23"/>
      <c r="E513" s="24">
        <v>163780</v>
      </c>
      <c r="F513" s="23">
        <v>7</v>
      </c>
      <c r="G513" s="23" t="s">
        <v>1053</v>
      </c>
      <c r="H513" s="23" t="s">
        <v>1054</v>
      </c>
      <c r="I513" s="23" t="s">
        <v>1055</v>
      </c>
      <c r="J513" s="23" t="s">
        <v>1055</v>
      </c>
      <c r="K513" s="25" t="str">
        <f>"00053477"</f>
        <v>00053477</v>
      </c>
    </row>
    <row r="514" spans="1:11" ht="64.5" customHeight="1" x14ac:dyDescent="0.25">
      <c r="A514" s="22">
        <v>109</v>
      </c>
      <c r="B514" s="23" t="s">
        <v>571</v>
      </c>
      <c r="C514" s="23" t="s">
        <v>128</v>
      </c>
      <c r="D514" s="23"/>
      <c r="E514" s="24">
        <v>60433</v>
      </c>
      <c r="F514" s="23">
        <v>7</v>
      </c>
      <c r="G514" s="23" t="s">
        <v>1056</v>
      </c>
      <c r="H514" s="23" t="s">
        <v>1057</v>
      </c>
      <c r="I514" s="23" t="s">
        <v>1058</v>
      </c>
      <c r="J514" s="23" t="s">
        <v>1059</v>
      </c>
      <c r="K514" s="25" t="str">
        <f>"00053780"</f>
        <v>00053780</v>
      </c>
    </row>
    <row r="515" spans="1:11" ht="14.25" customHeight="1" x14ac:dyDescent="0.25">
      <c r="A515" s="74">
        <v>109</v>
      </c>
      <c r="B515" s="72" t="s">
        <v>563</v>
      </c>
      <c r="C515" s="72" t="s">
        <v>128</v>
      </c>
      <c r="D515" s="72"/>
      <c r="E515" s="76">
        <v>2418</v>
      </c>
      <c r="F515" s="72">
        <v>7</v>
      </c>
      <c r="G515" s="72" t="s">
        <v>1060</v>
      </c>
      <c r="H515" s="72" t="s">
        <v>1061</v>
      </c>
      <c r="I515" s="72" t="s">
        <v>166</v>
      </c>
      <c r="J515" s="72" t="s">
        <v>181</v>
      </c>
      <c r="K515" s="25" t="str">
        <f>"00053935"</f>
        <v>00053935</v>
      </c>
    </row>
    <row r="516" spans="1:11" ht="65.25" customHeight="1" x14ac:dyDescent="0.25">
      <c r="A516" s="75"/>
      <c r="B516" s="73"/>
      <c r="C516" s="73"/>
      <c r="D516" s="73"/>
      <c r="E516" s="77"/>
      <c r="F516" s="73"/>
      <c r="G516" s="73"/>
      <c r="H516" s="73"/>
      <c r="I516" s="73"/>
      <c r="J516" s="73"/>
      <c r="K516" s="28" t="s">
        <v>562</v>
      </c>
    </row>
    <row r="517" spans="1:11" ht="14.25" customHeight="1" x14ac:dyDescent="0.25">
      <c r="A517" s="74">
        <v>109</v>
      </c>
      <c r="B517" s="72" t="s">
        <v>1062</v>
      </c>
      <c r="C517" s="72" t="s">
        <v>128</v>
      </c>
      <c r="D517" s="72"/>
      <c r="E517" s="76">
        <v>1800</v>
      </c>
      <c r="F517" s="72">
        <v>7</v>
      </c>
      <c r="G517" s="72" t="s">
        <v>1063</v>
      </c>
      <c r="H517" s="72" t="s">
        <v>1064</v>
      </c>
      <c r="I517" s="72" t="s">
        <v>166</v>
      </c>
      <c r="J517" s="72" t="s">
        <v>181</v>
      </c>
      <c r="K517" s="25" t="str">
        <f>"00053893"</f>
        <v>00053893</v>
      </c>
    </row>
    <row r="518" spans="1:11" ht="57.75" customHeight="1" x14ac:dyDescent="0.25">
      <c r="A518" s="75"/>
      <c r="B518" s="73"/>
      <c r="C518" s="73"/>
      <c r="D518" s="73"/>
      <c r="E518" s="77"/>
      <c r="F518" s="73"/>
      <c r="G518" s="73"/>
      <c r="H518" s="73"/>
      <c r="I518" s="73"/>
      <c r="J518" s="73"/>
      <c r="K518" s="28" t="s">
        <v>562</v>
      </c>
    </row>
    <row r="519" spans="1:11" ht="14.25" customHeight="1" x14ac:dyDescent="0.25">
      <c r="A519" s="74">
        <v>109</v>
      </c>
      <c r="B519" s="72" t="s">
        <v>1065</v>
      </c>
      <c r="C519" s="72" t="s">
        <v>128</v>
      </c>
      <c r="D519" s="72"/>
      <c r="E519" s="76">
        <v>1800</v>
      </c>
      <c r="F519" s="72">
        <v>7</v>
      </c>
      <c r="G519" s="72" t="s">
        <v>1066</v>
      </c>
      <c r="H519" s="72" t="s">
        <v>1067</v>
      </c>
      <c r="I519" s="72" t="s">
        <v>166</v>
      </c>
      <c r="J519" s="72" t="s">
        <v>181</v>
      </c>
      <c r="K519" s="25" t="str">
        <f>"00053845"</f>
        <v>00053845</v>
      </c>
    </row>
    <row r="520" spans="1:11" ht="60" customHeight="1" x14ac:dyDescent="0.25">
      <c r="A520" s="75"/>
      <c r="B520" s="73"/>
      <c r="C520" s="73"/>
      <c r="D520" s="73"/>
      <c r="E520" s="77"/>
      <c r="F520" s="73"/>
      <c r="G520" s="73"/>
      <c r="H520" s="73"/>
      <c r="I520" s="73"/>
      <c r="J520" s="73"/>
      <c r="K520" s="28" t="s">
        <v>562</v>
      </c>
    </row>
    <row r="521" spans="1:11" ht="65.25" customHeight="1" x14ac:dyDescent="0.25">
      <c r="A521" s="22">
        <v>109</v>
      </c>
      <c r="B521" s="23" t="s">
        <v>571</v>
      </c>
      <c r="C521" s="23" t="s">
        <v>128</v>
      </c>
      <c r="D521" s="23"/>
      <c r="E521" s="24">
        <v>189258</v>
      </c>
      <c r="F521" s="23">
        <v>7</v>
      </c>
      <c r="G521" s="23" t="s">
        <v>1053</v>
      </c>
      <c r="H521" s="23" t="s">
        <v>1068</v>
      </c>
      <c r="I521" s="23" t="s">
        <v>1055</v>
      </c>
      <c r="J521" s="23" t="s">
        <v>1055</v>
      </c>
      <c r="K521" s="25" t="str">
        <f>"00053321"</f>
        <v>00053321</v>
      </c>
    </row>
    <row r="522" spans="1:11" ht="14.25" customHeight="1" x14ac:dyDescent="0.25">
      <c r="A522" s="74">
        <v>109</v>
      </c>
      <c r="B522" s="72" t="s">
        <v>1069</v>
      </c>
      <c r="C522" s="72" t="s">
        <v>128</v>
      </c>
      <c r="D522" s="72"/>
      <c r="E522" s="76">
        <v>2500</v>
      </c>
      <c r="F522" s="72">
        <v>7</v>
      </c>
      <c r="G522" s="72" t="s">
        <v>1070</v>
      </c>
      <c r="H522" s="72" t="s">
        <v>1071</v>
      </c>
      <c r="I522" s="72" t="s">
        <v>1058</v>
      </c>
      <c r="J522" s="72" t="s">
        <v>1059</v>
      </c>
      <c r="K522" s="25" t="str">
        <f>"00054053"</f>
        <v>00054053</v>
      </c>
    </row>
    <row r="523" spans="1:11" ht="59.25" customHeight="1" x14ac:dyDescent="0.25">
      <c r="A523" s="75"/>
      <c r="B523" s="73"/>
      <c r="C523" s="73"/>
      <c r="D523" s="73"/>
      <c r="E523" s="77"/>
      <c r="F523" s="73"/>
      <c r="G523" s="73"/>
      <c r="H523" s="73"/>
      <c r="I523" s="73"/>
      <c r="J523" s="73"/>
      <c r="K523" s="28" t="s">
        <v>562</v>
      </c>
    </row>
    <row r="524" spans="1:11" ht="64.5" customHeight="1" x14ac:dyDescent="0.25">
      <c r="A524" s="22">
        <v>109</v>
      </c>
      <c r="B524" s="23" t="s">
        <v>571</v>
      </c>
      <c r="C524" s="23" t="s">
        <v>128</v>
      </c>
      <c r="D524" s="23"/>
      <c r="E524" s="24">
        <v>172941</v>
      </c>
      <c r="F524" s="23">
        <v>7</v>
      </c>
      <c r="G524" s="23" t="s">
        <v>1072</v>
      </c>
      <c r="H524" s="23" t="s">
        <v>1073</v>
      </c>
      <c r="I524" s="23" t="s">
        <v>1055</v>
      </c>
      <c r="J524" s="23" t="s">
        <v>1055</v>
      </c>
      <c r="K524" s="25" t="str">
        <f>"00053781"</f>
        <v>00053781</v>
      </c>
    </row>
    <row r="525" spans="1:11" ht="57.75" customHeight="1" x14ac:dyDescent="0.25">
      <c r="A525" s="30">
        <v>109</v>
      </c>
      <c r="B525" s="31" t="s">
        <v>571</v>
      </c>
      <c r="C525" s="31" t="s">
        <v>128</v>
      </c>
      <c r="D525" s="31"/>
      <c r="E525" s="32">
        <v>143887</v>
      </c>
      <c r="F525" s="31">
        <v>7</v>
      </c>
      <c r="G525" s="31" t="s">
        <v>1074</v>
      </c>
      <c r="H525" s="31" t="s">
        <v>1075</v>
      </c>
      <c r="I525" s="31" t="s">
        <v>1076</v>
      </c>
      <c r="J525" s="31" t="s">
        <v>1077</v>
      </c>
      <c r="K525" s="33" t="str">
        <f>"00053683"</f>
        <v>00053683</v>
      </c>
    </row>
    <row r="526" spans="1:11" ht="73.5" customHeight="1" x14ac:dyDescent="0.25">
      <c r="A526" s="38">
        <v>109</v>
      </c>
      <c r="B526" s="39" t="s">
        <v>1078</v>
      </c>
      <c r="C526" s="39" t="s">
        <v>128</v>
      </c>
      <c r="D526" s="39"/>
      <c r="E526" s="40">
        <v>35655</v>
      </c>
      <c r="F526" s="39">
        <v>7</v>
      </c>
      <c r="G526" s="39" t="s">
        <v>1079</v>
      </c>
      <c r="H526" s="39" t="s">
        <v>1080</v>
      </c>
      <c r="I526" s="39" t="s">
        <v>142</v>
      </c>
      <c r="J526" s="39" t="s">
        <v>391</v>
      </c>
      <c r="K526" s="27" t="str">
        <f>"00053782"</f>
        <v>00053782</v>
      </c>
    </row>
    <row r="527" spans="1:11" ht="72" customHeight="1" x14ac:dyDescent="0.25">
      <c r="A527" s="22">
        <v>109</v>
      </c>
      <c r="B527" s="23" t="s">
        <v>571</v>
      </c>
      <c r="C527" s="23" t="s">
        <v>128</v>
      </c>
      <c r="D527" s="23"/>
      <c r="E527" s="24">
        <v>53985</v>
      </c>
      <c r="F527" s="23">
        <v>7</v>
      </c>
      <c r="G527" s="23" t="s">
        <v>1081</v>
      </c>
      <c r="H527" s="23" t="s">
        <v>1082</v>
      </c>
      <c r="I527" s="23" t="s">
        <v>439</v>
      </c>
      <c r="J527" s="23" t="s">
        <v>1083</v>
      </c>
      <c r="K527" s="25" t="str">
        <f>"00053846"</f>
        <v>00053846</v>
      </c>
    </row>
    <row r="528" spans="1:11" ht="68.25" customHeight="1" x14ac:dyDescent="0.25">
      <c r="A528" s="22">
        <v>109</v>
      </c>
      <c r="B528" s="23" t="s">
        <v>571</v>
      </c>
      <c r="C528" s="23" t="s">
        <v>128</v>
      </c>
      <c r="D528" s="23"/>
      <c r="E528" s="24">
        <v>146676</v>
      </c>
      <c r="F528" s="23">
        <v>7</v>
      </c>
      <c r="G528" s="23" t="s">
        <v>1074</v>
      </c>
      <c r="H528" s="23" t="s">
        <v>1075</v>
      </c>
      <c r="I528" s="23" t="s">
        <v>1076</v>
      </c>
      <c r="J528" s="23" t="s">
        <v>1084</v>
      </c>
      <c r="K528" s="25" t="str">
        <f>"00053687"</f>
        <v>00053687</v>
      </c>
    </row>
    <row r="529" spans="1:11" ht="78" customHeight="1" x14ac:dyDescent="0.25">
      <c r="A529" s="22">
        <v>109</v>
      </c>
      <c r="B529" s="23" t="s">
        <v>571</v>
      </c>
      <c r="C529" s="23" t="s">
        <v>128</v>
      </c>
      <c r="D529" s="23"/>
      <c r="E529" s="24">
        <v>153678</v>
      </c>
      <c r="F529" s="23">
        <v>7</v>
      </c>
      <c r="G529" s="23" t="s">
        <v>1074</v>
      </c>
      <c r="H529" s="23" t="s">
        <v>1085</v>
      </c>
      <c r="I529" s="23" t="s">
        <v>1076</v>
      </c>
      <c r="J529" s="23" t="s">
        <v>1077</v>
      </c>
      <c r="K529" s="25" t="str">
        <f>"00053711"</f>
        <v>00053711</v>
      </c>
    </row>
    <row r="530" spans="1:11" ht="78" customHeight="1" x14ac:dyDescent="0.25">
      <c r="A530" s="22">
        <v>109</v>
      </c>
      <c r="B530" s="23" t="s">
        <v>571</v>
      </c>
      <c r="C530" s="23" t="s">
        <v>128</v>
      </c>
      <c r="D530" s="23"/>
      <c r="E530" s="24">
        <v>262900</v>
      </c>
      <c r="F530" s="23">
        <v>7</v>
      </c>
      <c r="G530" s="23" t="s">
        <v>1086</v>
      </c>
      <c r="H530" s="23" t="s">
        <v>1087</v>
      </c>
      <c r="I530" s="23" t="s">
        <v>1088</v>
      </c>
      <c r="J530" s="23" t="s">
        <v>1089</v>
      </c>
      <c r="K530" s="25" t="str">
        <f>"00053737"</f>
        <v>00053737</v>
      </c>
    </row>
    <row r="531" spans="1:11" ht="68.25" customHeight="1" x14ac:dyDescent="0.25">
      <c r="A531" s="22">
        <v>109</v>
      </c>
      <c r="B531" s="23" t="s">
        <v>1090</v>
      </c>
      <c r="C531" s="23" t="s">
        <v>128</v>
      </c>
      <c r="D531" s="23"/>
      <c r="E531" s="24">
        <v>90042</v>
      </c>
      <c r="F531" s="23">
        <v>7</v>
      </c>
      <c r="G531" s="23" t="s">
        <v>1091</v>
      </c>
      <c r="H531" s="23" t="s">
        <v>1092</v>
      </c>
      <c r="I531" s="23" t="s">
        <v>142</v>
      </c>
      <c r="J531" s="23" t="s">
        <v>783</v>
      </c>
      <c r="K531" s="25" t="str">
        <f>"00053504"</f>
        <v>00053504</v>
      </c>
    </row>
    <row r="532" spans="1:11" ht="72.75" customHeight="1" x14ac:dyDescent="0.25">
      <c r="A532" s="22">
        <v>109</v>
      </c>
      <c r="B532" s="23" t="s">
        <v>571</v>
      </c>
      <c r="C532" s="23" t="s">
        <v>128</v>
      </c>
      <c r="D532" s="23"/>
      <c r="E532" s="24">
        <v>92676</v>
      </c>
      <c r="F532" s="23">
        <v>7</v>
      </c>
      <c r="G532" s="23" t="s">
        <v>1093</v>
      </c>
      <c r="H532" s="23" t="s">
        <v>1094</v>
      </c>
      <c r="I532" s="23" t="s">
        <v>1055</v>
      </c>
      <c r="J532" s="23" t="s">
        <v>1055</v>
      </c>
      <c r="K532" s="25" t="str">
        <f>"00053952"</f>
        <v>00053952</v>
      </c>
    </row>
    <row r="533" spans="1:11" ht="31.5" customHeight="1" x14ac:dyDescent="0.25">
      <c r="A533" s="74">
        <v>109</v>
      </c>
      <c r="B533" s="72" t="s">
        <v>1095</v>
      </c>
      <c r="C533" s="72" t="s">
        <v>128</v>
      </c>
      <c r="D533" s="72"/>
      <c r="E533" s="76">
        <v>22721</v>
      </c>
      <c r="F533" s="72">
        <v>7</v>
      </c>
      <c r="G533" s="72" t="s">
        <v>1096</v>
      </c>
      <c r="H533" s="72" t="s">
        <v>1097</v>
      </c>
      <c r="I533" s="72" t="s">
        <v>1098</v>
      </c>
      <c r="J533" s="72" t="s">
        <v>1099</v>
      </c>
      <c r="K533" s="25" t="str">
        <f>"00054134"</f>
        <v>00054134</v>
      </c>
    </row>
    <row r="534" spans="1:11" ht="57.75" customHeight="1" x14ac:dyDescent="0.25">
      <c r="A534" s="75"/>
      <c r="B534" s="73"/>
      <c r="C534" s="73"/>
      <c r="D534" s="73"/>
      <c r="E534" s="77"/>
      <c r="F534" s="73"/>
      <c r="G534" s="73"/>
      <c r="H534" s="73"/>
      <c r="I534" s="73"/>
      <c r="J534" s="73"/>
      <c r="K534" s="28" t="s">
        <v>562</v>
      </c>
    </row>
    <row r="535" spans="1:11" ht="70.5" customHeight="1" x14ac:dyDescent="0.25">
      <c r="A535" s="22">
        <v>109</v>
      </c>
      <c r="B535" s="23" t="s">
        <v>571</v>
      </c>
      <c r="C535" s="23" t="s">
        <v>128</v>
      </c>
      <c r="D535" s="23"/>
      <c r="E535" s="24">
        <v>174082</v>
      </c>
      <c r="F535" s="23">
        <v>7</v>
      </c>
      <c r="G535" s="23" t="s">
        <v>1100</v>
      </c>
      <c r="H535" s="23" t="s">
        <v>1101</v>
      </c>
      <c r="I535" s="23" t="s">
        <v>142</v>
      </c>
      <c r="J535" s="23" t="s">
        <v>391</v>
      </c>
      <c r="K535" s="25" t="str">
        <f>"00054080"</f>
        <v>00054080</v>
      </c>
    </row>
    <row r="536" spans="1:11" ht="57.75" customHeight="1" x14ac:dyDescent="0.25">
      <c r="A536" s="22">
        <v>109</v>
      </c>
      <c r="B536" s="23" t="s">
        <v>1102</v>
      </c>
      <c r="C536" s="23" t="s">
        <v>128</v>
      </c>
      <c r="D536" s="23"/>
      <c r="E536" s="24">
        <v>36195</v>
      </c>
      <c r="F536" s="23">
        <v>7</v>
      </c>
      <c r="G536" s="23" t="s">
        <v>1103</v>
      </c>
      <c r="H536" s="23" t="s">
        <v>199</v>
      </c>
      <c r="I536" s="23" t="s">
        <v>197</v>
      </c>
      <c r="J536" s="23" t="s">
        <v>197</v>
      </c>
      <c r="K536" s="25" t="str">
        <f>"00053260"</f>
        <v>00053260</v>
      </c>
    </row>
    <row r="537" spans="1:11" ht="63" customHeight="1" x14ac:dyDescent="0.25">
      <c r="A537" s="22">
        <v>109</v>
      </c>
      <c r="B537" s="23" t="s">
        <v>1104</v>
      </c>
      <c r="C537" s="23" t="s">
        <v>128</v>
      </c>
      <c r="D537" s="23"/>
      <c r="E537" s="24">
        <v>73497</v>
      </c>
      <c r="F537" s="23">
        <v>7</v>
      </c>
      <c r="G537" s="23" t="s">
        <v>1105</v>
      </c>
      <c r="H537" s="23" t="s">
        <v>1106</v>
      </c>
      <c r="I537" s="23" t="s">
        <v>142</v>
      </c>
      <c r="J537" s="23" t="s">
        <v>1107</v>
      </c>
      <c r="K537" s="25" t="str">
        <f>"00053311"</f>
        <v>00053311</v>
      </c>
    </row>
    <row r="538" spans="1:11" ht="26.25" customHeight="1" x14ac:dyDescent="0.25">
      <c r="A538" s="74">
        <v>109</v>
      </c>
      <c r="B538" s="72" t="s">
        <v>1108</v>
      </c>
      <c r="C538" s="72" t="s">
        <v>128</v>
      </c>
      <c r="D538" s="72"/>
      <c r="E538" s="76">
        <v>118740</v>
      </c>
      <c r="F538" s="72">
        <v>7</v>
      </c>
      <c r="G538" s="72" t="s">
        <v>1109</v>
      </c>
      <c r="H538" s="72" t="s">
        <v>1110</v>
      </c>
      <c r="I538" s="72" t="s">
        <v>142</v>
      </c>
      <c r="J538" s="72" t="s">
        <v>1111</v>
      </c>
      <c r="K538" s="25" t="str">
        <f>"00054325"</f>
        <v>00054325</v>
      </c>
    </row>
    <row r="539" spans="1:11" ht="35.1" customHeight="1" x14ac:dyDescent="0.25">
      <c r="A539" s="75"/>
      <c r="B539" s="73"/>
      <c r="C539" s="73"/>
      <c r="D539" s="73"/>
      <c r="E539" s="77"/>
      <c r="F539" s="73"/>
      <c r="G539" s="73"/>
      <c r="H539" s="73"/>
      <c r="I539" s="73"/>
      <c r="J539" s="73"/>
      <c r="K539" s="28" t="s">
        <v>665</v>
      </c>
    </row>
    <row r="540" spans="1:11" ht="22.5" customHeight="1" x14ac:dyDescent="0.25">
      <c r="A540" s="74">
        <v>109</v>
      </c>
      <c r="B540" s="72" t="s">
        <v>1112</v>
      </c>
      <c r="C540" s="72" t="s">
        <v>128</v>
      </c>
      <c r="D540" s="72"/>
      <c r="E540" s="76">
        <v>54846</v>
      </c>
      <c r="F540" s="72">
        <v>7</v>
      </c>
      <c r="G540" s="72" t="s">
        <v>1113</v>
      </c>
      <c r="H540" s="72" t="s">
        <v>1114</v>
      </c>
      <c r="I540" s="72" t="s">
        <v>142</v>
      </c>
      <c r="J540" s="72" t="s">
        <v>1115</v>
      </c>
      <c r="K540" s="25" t="str">
        <f>"00053463"</f>
        <v>00053463</v>
      </c>
    </row>
    <row r="541" spans="1:11" ht="35.25" customHeight="1" x14ac:dyDescent="0.25">
      <c r="A541" s="75"/>
      <c r="B541" s="73"/>
      <c r="C541" s="73"/>
      <c r="D541" s="73"/>
      <c r="E541" s="77"/>
      <c r="F541" s="73"/>
      <c r="G541" s="73"/>
      <c r="H541" s="73"/>
      <c r="I541" s="73"/>
      <c r="J541" s="73"/>
      <c r="K541" s="34" t="s">
        <v>32</v>
      </c>
    </row>
    <row r="542" spans="1:11" ht="48.75" customHeight="1" x14ac:dyDescent="0.25">
      <c r="A542" s="22">
        <v>109</v>
      </c>
      <c r="B542" s="23" t="s">
        <v>1116</v>
      </c>
      <c r="C542" s="23" t="s">
        <v>128</v>
      </c>
      <c r="D542" s="23"/>
      <c r="E542" s="24">
        <v>32020</v>
      </c>
      <c r="F542" s="23">
        <v>7</v>
      </c>
      <c r="G542" s="23" t="s">
        <v>1117</v>
      </c>
      <c r="H542" s="23" t="s">
        <v>1118</v>
      </c>
      <c r="I542" s="23" t="s">
        <v>142</v>
      </c>
      <c r="J542" s="23" t="s">
        <v>1115</v>
      </c>
      <c r="K542" s="27" t="str">
        <f>"00051294"</f>
        <v>00051294</v>
      </c>
    </row>
    <row r="543" spans="1:11" ht="64.5" customHeight="1" x14ac:dyDescent="0.25">
      <c r="A543" s="22">
        <v>109</v>
      </c>
      <c r="B543" s="23" t="s">
        <v>1119</v>
      </c>
      <c r="C543" s="23" t="s">
        <v>128</v>
      </c>
      <c r="D543" s="23"/>
      <c r="E543" s="24">
        <v>65780</v>
      </c>
      <c r="F543" s="23">
        <v>7</v>
      </c>
      <c r="G543" s="23" t="s">
        <v>1120</v>
      </c>
      <c r="H543" s="23" t="s">
        <v>1121</v>
      </c>
      <c r="I543" s="23" t="s">
        <v>334</v>
      </c>
      <c r="J543" s="23" t="s">
        <v>1122</v>
      </c>
      <c r="K543" s="25" t="str">
        <f>"00053882"</f>
        <v>00053882</v>
      </c>
    </row>
    <row r="544" spans="1:11" ht="27" customHeight="1" x14ac:dyDescent="0.25">
      <c r="A544" s="74">
        <v>109</v>
      </c>
      <c r="B544" s="72" t="s">
        <v>713</v>
      </c>
      <c r="C544" s="72" t="s">
        <v>128</v>
      </c>
      <c r="D544" s="72"/>
      <c r="E544" s="76">
        <v>23447</v>
      </c>
      <c r="F544" s="72">
        <v>7</v>
      </c>
      <c r="G544" s="72" t="s">
        <v>1123</v>
      </c>
      <c r="H544" s="72" t="s">
        <v>1124</v>
      </c>
      <c r="I544" s="72" t="s">
        <v>175</v>
      </c>
      <c r="J544" s="72" t="s">
        <v>1125</v>
      </c>
      <c r="K544" s="25" t="str">
        <f>"00053889"</f>
        <v>00053889</v>
      </c>
    </row>
    <row r="545" spans="1:11" ht="34.5" customHeight="1" x14ac:dyDescent="0.25">
      <c r="A545" s="75"/>
      <c r="B545" s="73"/>
      <c r="C545" s="73"/>
      <c r="D545" s="73"/>
      <c r="E545" s="77"/>
      <c r="F545" s="73"/>
      <c r="G545" s="73"/>
      <c r="H545" s="73"/>
      <c r="I545" s="73"/>
      <c r="J545" s="73"/>
      <c r="K545" s="27" t="s">
        <v>32</v>
      </c>
    </row>
    <row r="546" spans="1:11" ht="49.5" customHeight="1" x14ac:dyDescent="0.25">
      <c r="A546" s="74">
        <v>109</v>
      </c>
      <c r="B546" s="72" t="s">
        <v>1126</v>
      </c>
      <c r="C546" s="72" t="s">
        <v>128</v>
      </c>
      <c r="D546" s="72"/>
      <c r="E546" s="76">
        <v>103001</v>
      </c>
      <c r="F546" s="72">
        <v>7</v>
      </c>
      <c r="G546" s="72" t="s">
        <v>1127</v>
      </c>
      <c r="H546" s="72" t="s">
        <v>1128</v>
      </c>
      <c r="I546" s="72" t="s">
        <v>142</v>
      </c>
      <c r="J546" s="72" t="s">
        <v>271</v>
      </c>
      <c r="K546" s="25" t="str">
        <f>"00053909"</f>
        <v>00053909</v>
      </c>
    </row>
    <row r="547" spans="1:11" ht="49.5" customHeight="1" x14ac:dyDescent="0.25">
      <c r="A547" s="75"/>
      <c r="B547" s="73"/>
      <c r="C547" s="73"/>
      <c r="D547" s="73"/>
      <c r="E547" s="77"/>
      <c r="F547" s="73"/>
      <c r="G547" s="73"/>
      <c r="H547" s="73"/>
      <c r="I547" s="73"/>
      <c r="J547" s="73"/>
      <c r="K547" s="28" t="s">
        <v>376</v>
      </c>
    </row>
    <row r="548" spans="1:11" ht="29.25" customHeight="1" x14ac:dyDescent="0.25">
      <c r="A548" s="74">
        <v>109</v>
      </c>
      <c r="B548" s="72" t="s">
        <v>1126</v>
      </c>
      <c r="C548" s="72" t="s">
        <v>128</v>
      </c>
      <c r="D548" s="72"/>
      <c r="E548" s="76">
        <v>1810</v>
      </c>
      <c r="F548" s="72">
        <v>7</v>
      </c>
      <c r="G548" s="72" t="s">
        <v>1129</v>
      </c>
      <c r="H548" s="72" t="s">
        <v>1130</v>
      </c>
      <c r="I548" s="72" t="s">
        <v>1131</v>
      </c>
      <c r="J548" s="72" t="s">
        <v>1132</v>
      </c>
      <c r="K548" s="25" t="str">
        <f>"00054365"</f>
        <v>00054365</v>
      </c>
    </row>
    <row r="549" spans="1:11" ht="45" customHeight="1" x14ac:dyDescent="0.25">
      <c r="A549" s="75"/>
      <c r="B549" s="73"/>
      <c r="C549" s="73"/>
      <c r="D549" s="73"/>
      <c r="E549" s="77"/>
      <c r="F549" s="73"/>
      <c r="G549" s="73"/>
      <c r="H549" s="73"/>
      <c r="I549" s="73"/>
      <c r="J549" s="73"/>
      <c r="K549" s="28" t="s">
        <v>1133</v>
      </c>
    </row>
    <row r="550" spans="1:11" ht="29.25" customHeight="1" x14ac:dyDescent="0.25">
      <c r="A550" s="74">
        <v>109</v>
      </c>
      <c r="B550" s="72" t="s">
        <v>1126</v>
      </c>
      <c r="C550" s="72" t="s">
        <v>128</v>
      </c>
      <c r="D550" s="72"/>
      <c r="E550" s="76">
        <v>1850</v>
      </c>
      <c r="F550" s="72">
        <v>7</v>
      </c>
      <c r="G550" s="72" t="s">
        <v>1129</v>
      </c>
      <c r="H550" s="72" t="s">
        <v>1130</v>
      </c>
      <c r="I550" s="72" t="s">
        <v>1131</v>
      </c>
      <c r="J550" s="72" t="s">
        <v>1132</v>
      </c>
      <c r="K550" s="25" t="str">
        <f>"00054369"</f>
        <v>00054369</v>
      </c>
    </row>
    <row r="551" spans="1:11" ht="45" customHeight="1" x14ac:dyDescent="0.25">
      <c r="A551" s="75"/>
      <c r="B551" s="73"/>
      <c r="C551" s="73"/>
      <c r="D551" s="73"/>
      <c r="E551" s="77"/>
      <c r="F551" s="73"/>
      <c r="G551" s="73"/>
      <c r="H551" s="73"/>
      <c r="I551" s="73"/>
      <c r="J551" s="73"/>
      <c r="K551" s="28" t="s">
        <v>1133</v>
      </c>
    </row>
    <row r="552" spans="1:11" ht="29.25" customHeight="1" x14ac:dyDescent="0.25">
      <c r="A552" s="74">
        <v>109</v>
      </c>
      <c r="B552" s="72" t="s">
        <v>1126</v>
      </c>
      <c r="C552" s="72" t="s">
        <v>128</v>
      </c>
      <c r="D552" s="72"/>
      <c r="E552" s="76">
        <v>1897</v>
      </c>
      <c r="F552" s="72">
        <v>7</v>
      </c>
      <c r="G552" s="72" t="s">
        <v>1129</v>
      </c>
      <c r="H552" s="72" t="s">
        <v>1130</v>
      </c>
      <c r="I552" s="72" t="s">
        <v>1131</v>
      </c>
      <c r="J552" s="72" t="s">
        <v>1132</v>
      </c>
      <c r="K552" s="25" t="str">
        <f>"00054368"</f>
        <v>00054368</v>
      </c>
    </row>
    <row r="553" spans="1:11" ht="45" customHeight="1" x14ac:dyDescent="0.25">
      <c r="A553" s="75"/>
      <c r="B553" s="73"/>
      <c r="C553" s="73"/>
      <c r="D553" s="73"/>
      <c r="E553" s="77"/>
      <c r="F553" s="73"/>
      <c r="G553" s="73"/>
      <c r="H553" s="73"/>
      <c r="I553" s="73"/>
      <c r="J553" s="73"/>
      <c r="K553" s="28" t="s">
        <v>1133</v>
      </c>
    </row>
    <row r="554" spans="1:11" ht="29.25" customHeight="1" x14ac:dyDescent="0.25">
      <c r="A554" s="74">
        <v>109</v>
      </c>
      <c r="B554" s="72" t="s">
        <v>1126</v>
      </c>
      <c r="C554" s="72" t="s">
        <v>128</v>
      </c>
      <c r="D554" s="72"/>
      <c r="E554" s="76">
        <v>1831</v>
      </c>
      <c r="F554" s="72">
        <v>7</v>
      </c>
      <c r="G554" s="72" t="s">
        <v>1129</v>
      </c>
      <c r="H554" s="72" t="s">
        <v>1130</v>
      </c>
      <c r="I554" s="72" t="s">
        <v>1131</v>
      </c>
      <c r="J554" s="72" t="s">
        <v>1132</v>
      </c>
      <c r="K554" s="25" t="str">
        <f>"00054367"</f>
        <v>00054367</v>
      </c>
    </row>
    <row r="555" spans="1:11" ht="45" customHeight="1" x14ac:dyDescent="0.25">
      <c r="A555" s="75"/>
      <c r="B555" s="73"/>
      <c r="C555" s="73"/>
      <c r="D555" s="73"/>
      <c r="E555" s="77"/>
      <c r="F555" s="73"/>
      <c r="G555" s="73"/>
      <c r="H555" s="73"/>
      <c r="I555" s="73"/>
      <c r="J555" s="73"/>
      <c r="K555" s="28" t="s">
        <v>1133</v>
      </c>
    </row>
    <row r="556" spans="1:11" ht="29.25" customHeight="1" x14ac:dyDescent="0.25">
      <c r="A556" s="74">
        <v>109</v>
      </c>
      <c r="B556" s="72" t="s">
        <v>1126</v>
      </c>
      <c r="C556" s="72" t="s">
        <v>128</v>
      </c>
      <c r="D556" s="72"/>
      <c r="E556" s="76">
        <v>1853</v>
      </c>
      <c r="F556" s="72">
        <v>7</v>
      </c>
      <c r="G556" s="72" t="s">
        <v>1129</v>
      </c>
      <c r="H556" s="72" t="s">
        <v>1130</v>
      </c>
      <c r="I556" s="72" t="s">
        <v>1131</v>
      </c>
      <c r="J556" s="72" t="s">
        <v>1132</v>
      </c>
      <c r="K556" s="25" t="str">
        <f>"00054366"</f>
        <v>00054366</v>
      </c>
    </row>
    <row r="557" spans="1:11" ht="45" customHeight="1" x14ac:dyDescent="0.25">
      <c r="A557" s="75"/>
      <c r="B557" s="73"/>
      <c r="C557" s="73"/>
      <c r="D557" s="73"/>
      <c r="E557" s="77"/>
      <c r="F557" s="73"/>
      <c r="G557" s="73"/>
      <c r="H557" s="73"/>
      <c r="I557" s="73"/>
      <c r="J557" s="73"/>
      <c r="K557" s="28" t="s">
        <v>1133</v>
      </c>
    </row>
    <row r="558" spans="1:11" ht="29.25" customHeight="1" x14ac:dyDescent="0.25">
      <c r="A558" s="74">
        <v>109</v>
      </c>
      <c r="B558" s="72" t="s">
        <v>1126</v>
      </c>
      <c r="C558" s="72" t="s">
        <v>128</v>
      </c>
      <c r="D558" s="72"/>
      <c r="E558" s="76">
        <v>1836</v>
      </c>
      <c r="F558" s="72">
        <v>7</v>
      </c>
      <c r="G558" s="72" t="s">
        <v>1129</v>
      </c>
      <c r="H558" s="72" t="s">
        <v>1130</v>
      </c>
      <c r="I558" s="72" t="s">
        <v>1131</v>
      </c>
      <c r="J558" s="72" t="s">
        <v>1132</v>
      </c>
      <c r="K558" s="25" t="str">
        <f>"00054364"</f>
        <v>00054364</v>
      </c>
    </row>
    <row r="559" spans="1:11" ht="45" customHeight="1" x14ac:dyDescent="0.25">
      <c r="A559" s="75"/>
      <c r="B559" s="73"/>
      <c r="C559" s="73"/>
      <c r="D559" s="73"/>
      <c r="E559" s="77"/>
      <c r="F559" s="73"/>
      <c r="G559" s="73"/>
      <c r="H559" s="73"/>
      <c r="I559" s="73"/>
      <c r="J559" s="73"/>
      <c r="K559" s="28" t="s">
        <v>1133</v>
      </c>
    </row>
    <row r="560" spans="1:11" ht="29.25" customHeight="1" x14ac:dyDescent="0.25">
      <c r="A560" s="74">
        <v>109</v>
      </c>
      <c r="B560" s="72" t="s">
        <v>1126</v>
      </c>
      <c r="C560" s="72" t="s">
        <v>128</v>
      </c>
      <c r="D560" s="72"/>
      <c r="E560" s="76">
        <v>1855</v>
      </c>
      <c r="F560" s="72">
        <v>7</v>
      </c>
      <c r="G560" s="72" t="s">
        <v>1129</v>
      </c>
      <c r="H560" s="72" t="s">
        <v>1130</v>
      </c>
      <c r="I560" s="72" t="s">
        <v>1131</v>
      </c>
      <c r="J560" s="72" t="s">
        <v>1132</v>
      </c>
      <c r="K560" s="25" t="str">
        <f>"00054363"</f>
        <v>00054363</v>
      </c>
    </row>
    <row r="561" spans="1:11" ht="45" customHeight="1" x14ac:dyDescent="0.25">
      <c r="A561" s="75"/>
      <c r="B561" s="73"/>
      <c r="C561" s="73"/>
      <c r="D561" s="73"/>
      <c r="E561" s="77"/>
      <c r="F561" s="73"/>
      <c r="G561" s="73"/>
      <c r="H561" s="73"/>
      <c r="I561" s="73"/>
      <c r="J561" s="73"/>
      <c r="K561" s="28" t="s">
        <v>1133</v>
      </c>
    </row>
    <row r="562" spans="1:11" ht="29.25" customHeight="1" x14ac:dyDescent="0.25">
      <c r="A562" s="74">
        <v>109</v>
      </c>
      <c r="B562" s="72" t="s">
        <v>1126</v>
      </c>
      <c r="C562" s="72" t="s">
        <v>128</v>
      </c>
      <c r="D562" s="72"/>
      <c r="E562" s="76">
        <v>1824</v>
      </c>
      <c r="F562" s="72">
        <v>7</v>
      </c>
      <c r="G562" s="72" t="s">
        <v>1129</v>
      </c>
      <c r="H562" s="72" t="s">
        <v>1130</v>
      </c>
      <c r="I562" s="72" t="s">
        <v>1131</v>
      </c>
      <c r="J562" s="72" t="s">
        <v>1132</v>
      </c>
      <c r="K562" s="25" t="str">
        <f>"00054370"</f>
        <v>00054370</v>
      </c>
    </row>
    <row r="563" spans="1:11" ht="45" customHeight="1" x14ac:dyDescent="0.25">
      <c r="A563" s="75"/>
      <c r="B563" s="73"/>
      <c r="C563" s="73"/>
      <c r="D563" s="73"/>
      <c r="E563" s="77"/>
      <c r="F563" s="73"/>
      <c r="G563" s="73"/>
      <c r="H563" s="73"/>
      <c r="I563" s="73"/>
      <c r="J563" s="73"/>
      <c r="K563" s="28" t="s">
        <v>1133</v>
      </c>
    </row>
    <row r="564" spans="1:11" ht="29.25" customHeight="1" x14ac:dyDescent="0.25">
      <c r="A564" s="74">
        <v>109</v>
      </c>
      <c r="B564" s="72" t="s">
        <v>1126</v>
      </c>
      <c r="C564" s="72" t="s">
        <v>128</v>
      </c>
      <c r="D564" s="72"/>
      <c r="E564" s="76">
        <v>1829</v>
      </c>
      <c r="F564" s="72">
        <v>7</v>
      </c>
      <c r="G564" s="72" t="s">
        <v>1129</v>
      </c>
      <c r="H564" s="72" t="s">
        <v>1130</v>
      </c>
      <c r="I564" s="72" t="s">
        <v>1131</v>
      </c>
      <c r="J564" s="72" t="s">
        <v>1132</v>
      </c>
      <c r="K564" s="25" t="str">
        <f>"00054360"</f>
        <v>00054360</v>
      </c>
    </row>
    <row r="565" spans="1:11" ht="45" customHeight="1" x14ac:dyDescent="0.25">
      <c r="A565" s="75"/>
      <c r="B565" s="73"/>
      <c r="C565" s="73"/>
      <c r="D565" s="73"/>
      <c r="E565" s="77"/>
      <c r="F565" s="73"/>
      <c r="G565" s="73"/>
      <c r="H565" s="73"/>
      <c r="I565" s="73"/>
      <c r="J565" s="73"/>
      <c r="K565" s="28" t="s">
        <v>1133</v>
      </c>
    </row>
    <row r="566" spans="1:11" ht="29.25" customHeight="1" x14ac:dyDescent="0.25">
      <c r="A566" s="74">
        <v>109</v>
      </c>
      <c r="B566" s="72" t="s">
        <v>1126</v>
      </c>
      <c r="C566" s="72" t="s">
        <v>128</v>
      </c>
      <c r="D566" s="72"/>
      <c r="E566" s="76">
        <v>1897</v>
      </c>
      <c r="F566" s="72">
        <v>7</v>
      </c>
      <c r="G566" s="72" t="s">
        <v>1129</v>
      </c>
      <c r="H566" s="72" t="s">
        <v>1130</v>
      </c>
      <c r="I566" s="72" t="s">
        <v>1131</v>
      </c>
      <c r="J566" s="72" t="s">
        <v>1132</v>
      </c>
      <c r="K566" s="25" t="str">
        <f>"00054361"</f>
        <v>00054361</v>
      </c>
    </row>
    <row r="567" spans="1:11" ht="45" customHeight="1" x14ac:dyDescent="0.25">
      <c r="A567" s="75"/>
      <c r="B567" s="73"/>
      <c r="C567" s="73"/>
      <c r="D567" s="73"/>
      <c r="E567" s="77"/>
      <c r="F567" s="73"/>
      <c r="G567" s="73"/>
      <c r="H567" s="73"/>
      <c r="I567" s="73"/>
      <c r="J567" s="73"/>
      <c r="K567" s="28" t="s">
        <v>1133</v>
      </c>
    </row>
    <row r="568" spans="1:11" ht="29.25" customHeight="1" x14ac:dyDescent="0.25">
      <c r="A568" s="74">
        <v>109</v>
      </c>
      <c r="B568" s="72" t="s">
        <v>1126</v>
      </c>
      <c r="C568" s="72" t="s">
        <v>128</v>
      </c>
      <c r="D568" s="72"/>
      <c r="E568" s="76">
        <v>1851</v>
      </c>
      <c r="F568" s="72">
        <v>7</v>
      </c>
      <c r="G568" s="72" t="s">
        <v>1129</v>
      </c>
      <c r="H568" s="72" t="s">
        <v>1130</v>
      </c>
      <c r="I568" s="72" t="s">
        <v>1131</v>
      </c>
      <c r="J568" s="72" t="s">
        <v>1132</v>
      </c>
      <c r="K568" s="25" t="str">
        <f>"00054362"</f>
        <v>00054362</v>
      </c>
    </row>
    <row r="569" spans="1:11" ht="45" customHeight="1" x14ac:dyDescent="0.25">
      <c r="A569" s="75"/>
      <c r="B569" s="73"/>
      <c r="C569" s="73"/>
      <c r="D569" s="73"/>
      <c r="E569" s="77"/>
      <c r="F569" s="73"/>
      <c r="G569" s="73"/>
      <c r="H569" s="73"/>
      <c r="I569" s="73"/>
      <c r="J569" s="73"/>
      <c r="K569" s="28" t="s">
        <v>1133</v>
      </c>
    </row>
    <row r="570" spans="1:11" ht="24.75" customHeight="1" x14ac:dyDescent="0.25">
      <c r="A570" s="74">
        <v>109</v>
      </c>
      <c r="B570" s="72" t="s">
        <v>1134</v>
      </c>
      <c r="C570" s="72" t="s">
        <v>1135</v>
      </c>
      <c r="D570" s="72"/>
      <c r="E570" s="76">
        <v>-800</v>
      </c>
      <c r="F570" s="72">
        <v>7</v>
      </c>
      <c r="G570" s="72" t="s">
        <v>1136</v>
      </c>
      <c r="H570" s="72" t="s">
        <v>1137</v>
      </c>
      <c r="I570" s="72" t="s">
        <v>1138</v>
      </c>
      <c r="J570" s="72" t="s">
        <v>1139</v>
      </c>
      <c r="K570" s="25"/>
    </row>
    <row r="571" spans="1:11" ht="35.1" customHeight="1" x14ac:dyDescent="0.25">
      <c r="A571" s="75"/>
      <c r="B571" s="73"/>
      <c r="C571" s="73"/>
      <c r="D571" s="73"/>
      <c r="E571" s="77"/>
      <c r="F571" s="73"/>
      <c r="G571" s="73"/>
      <c r="H571" s="73"/>
      <c r="I571" s="73"/>
      <c r="J571" s="73"/>
      <c r="K571" s="28" t="s">
        <v>1140</v>
      </c>
    </row>
    <row r="572" spans="1:11" ht="26.25" customHeight="1" x14ac:dyDescent="0.25">
      <c r="A572" s="74">
        <v>108</v>
      </c>
      <c r="B572" s="72" t="s">
        <v>1141</v>
      </c>
      <c r="C572" s="72" t="s">
        <v>128</v>
      </c>
      <c r="D572" s="72"/>
      <c r="E572" s="76">
        <v>-100</v>
      </c>
      <c r="F572" s="72">
        <v>7</v>
      </c>
      <c r="G572" s="72" t="s">
        <v>1142</v>
      </c>
      <c r="H572" s="72" t="s">
        <v>1143</v>
      </c>
      <c r="I572" s="72" t="s">
        <v>1144</v>
      </c>
      <c r="J572" s="72" t="s">
        <v>1145</v>
      </c>
      <c r="K572" s="45" t="s">
        <v>1146</v>
      </c>
    </row>
    <row r="573" spans="1:11" ht="28.5" x14ac:dyDescent="0.25">
      <c r="A573" s="75"/>
      <c r="B573" s="73"/>
      <c r="C573" s="73"/>
      <c r="D573" s="73"/>
      <c r="E573" s="77"/>
      <c r="F573" s="73"/>
      <c r="G573" s="73"/>
      <c r="H573" s="73"/>
      <c r="I573" s="73"/>
      <c r="J573" s="73"/>
      <c r="K573" s="34" t="s">
        <v>1147</v>
      </c>
    </row>
    <row r="574" spans="1:11" ht="39" customHeight="1" x14ac:dyDescent="0.25">
      <c r="A574" s="74">
        <v>108</v>
      </c>
      <c r="B574" s="72" t="s">
        <v>1148</v>
      </c>
      <c r="C574" s="72" t="s">
        <v>128</v>
      </c>
      <c r="D574" s="72"/>
      <c r="E574" s="76">
        <v>-4437</v>
      </c>
      <c r="F574" s="72">
        <v>7</v>
      </c>
      <c r="G574" s="72" t="s">
        <v>1149</v>
      </c>
      <c r="H574" s="72" t="s">
        <v>1150</v>
      </c>
      <c r="I574" s="72" t="s">
        <v>166</v>
      </c>
      <c r="J574" s="72" t="s">
        <v>1151</v>
      </c>
      <c r="K574" s="54" t="str">
        <f>"00052517"</f>
        <v>00052517</v>
      </c>
    </row>
    <row r="575" spans="1:11" ht="35.1" customHeight="1" x14ac:dyDescent="0.25">
      <c r="A575" s="75"/>
      <c r="B575" s="73"/>
      <c r="C575" s="73"/>
      <c r="D575" s="73"/>
      <c r="E575" s="77"/>
      <c r="F575" s="73"/>
      <c r="G575" s="73"/>
      <c r="H575" s="73"/>
      <c r="I575" s="73"/>
      <c r="J575" s="73"/>
      <c r="K575" s="27" t="s">
        <v>1152</v>
      </c>
    </row>
    <row r="576" spans="1:11" ht="27.75" customHeight="1" x14ac:dyDescent="0.25">
      <c r="A576" s="74">
        <v>108</v>
      </c>
      <c r="B576" s="72" t="s">
        <v>1153</v>
      </c>
      <c r="C576" s="72" t="s">
        <v>128</v>
      </c>
      <c r="D576" s="72"/>
      <c r="E576" s="76">
        <v>-3104</v>
      </c>
      <c r="F576" s="72">
        <v>7</v>
      </c>
      <c r="G576" s="72" t="s">
        <v>1154</v>
      </c>
      <c r="H576" s="72" t="s">
        <v>1155</v>
      </c>
      <c r="I576" s="72" t="s">
        <v>166</v>
      </c>
      <c r="J576" s="72" t="s">
        <v>181</v>
      </c>
      <c r="K576" s="25" t="str">
        <f>"00049957"</f>
        <v>00049957</v>
      </c>
    </row>
    <row r="577" spans="1:11" ht="35.1" customHeight="1" x14ac:dyDescent="0.25">
      <c r="A577" s="75"/>
      <c r="B577" s="73"/>
      <c r="C577" s="73"/>
      <c r="D577" s="73"/>
      <c r="E577" s="77"/>
      <c r="F577" s="73"/>
      <c r="G577" s="73"/>
      <c r="H577" s="73"/>
      <c r="I577" s="73"/>
      <c r="J577" s="73"/>
      <c r="K577" s="28" t="s">
        <v>1156</v>
      </c>
    </row>
    <row r="578" spans="1:11" ht="31.5" customHeight="1" x14ac:dyDescent="0.25">
      <c r="A578" s="18">
        <v>109</v>
      </c>
      <c r="B578" s="19" t="s">
        <v>127</v>
      </c>
      <c r="C578" s="19" t="s">
        <v>128</v>
      </c>
      <c r="D578" s="20">
        <v>223000</v>
      </c>
      <c r="E578" s="19"/>
      <c r="F578" s="19">
        <v>7</v>
      </c>
      <c r="G578" s="19" t="s">
        <v>772</v>
      </c>
      <c r="H578" s="19"/>
      <c r="I578" s="19" t="s">
        <v>130</v>
      </c>
      <c r="J578" s="19"/>
      <c r="K578" s="29" t="s">
        <v>20</v>
      </c>
    </row>
    <row r="579" spans="1:11" ht="32.1" customHeight="1" x14ac:dyDescent="0.25">
      <c r="A579" s="18">
        <v>109</v>
      </c>
      <c r="B579" s="19" t="s">
        <v>127</v>
      </c>
      <c r="C579" s="19" t="s">
        <v>128</v>
      </c>
      <c r="D579" s="20">
        <v>550000</v>
      </c>
      <c r="E579" s="19"/>
      <c r="F579" s="19">
        <v>7</v>
      </c>
      <c r="G579" s="19" t="s">
        <v>778</v>
      </c>
      <c r="H579" s="19"/>
      <c r="I579" s="19" t="s">
        <v>130</v>
      </c>
      <c r="J579" s="19"/>
      <c r="K579" s="21" t="str">
        <f>"　"</f>
        <v>　</v>
      </c>
    </row>
    <row r="580" spans="1:11" ht="28.5" x14ac:dyDescent="0.25">
      <c r="A580" s="22">
        <v>109</v>
      </c>
      <c r="B580" s="23" t="s">
        <v>1157</v>
      </c>
      <c r="C580" s="23" t="s">
        <v>128</v>
      </c>
      <c r="D580" s="23"/>
      <c r="E580" s="24">
        <v>308503</v>
      </c>
      <c r="F580" s="23">
        <v>7</v>
      </c>
      <c r="G580" s="23" t="s">
        <v>1158</v>
      </c>
      <c r="H580" s="23" t="s">
        <v>1159</v>
      </c>
      <c r="I580" s="23" t="s">
        <v>349</v>
      </c>
      <c r="J580" s="23" t="s">
        <v>959</v>
      </c>
      <c r="K580" s="25" t="str">
        <f>"00053439"</f>
        <v>00053439</v>
      </c>
    </row>
    <row r="581" spans="1:11" ht="32.1" customHeight="1" x14ac:dyDescent="0.25">
      <c r="A581" s="18">
        <v>109</v>
      </c>
      <c r="B581" s="19" t="s">
        <v>127</v>
      </c>
      <c r="C581" s="19" t="s">
        <v>128</v>
      </c>
      <c r="D581" s="20">
        <v>600000</v>
      </c>
      <c r="E581" s="19"/>
      <c r="F581" s="19">
        <v>7</v>
      </c>
      <c r="G581" s="19" t="s">
        <v>146</v>
      </c>
      <c r="H581" s="19"/>
      <c r="I581" s="19" t="s">
        <v>147</v>
      </c>
      <c r="J581" s="19"/>
      <c r="K581" s="29" t="s">
        <v>20</v>
      </c>
    </row>
    <row r="582" spans="1:11" ht="29.25" customHeight="1" x14ac:dyDescent="0.25">
      <c r="A582" s="18">
        <v>109</v>
      </c>
      <c r="B582" s="19" t="s">
        <v>127</v>
      </c>
      <c r="C582" s="19" t="s">
        <v>128</v>
      </c>
      <c r="D582" s="20">
        <v>600000</v>
      </c>
      <c r="E582" s="19"/>
      <c r="F582" s="19">
        <v>7</v>
      </c>
      <c r="G582" s="19" t="s">
        <v>779</v>
      </c>
      <c r="H582" s="19"/>
      <c r="I582" s="19" t="s">
        <v>147</v>
      </c>
      <c r="J582" s="19"/>
      <c r="K582" s="21" t="str">
        <f>"　"</f>
        <v>　</v>
      </c>
    </row>
    <row r="583" spans="1:11" ht="29.25" customHeight="1" x14ac:dyDescent="0.25">
      <c r="A583" s="18">
        <v>109</v>
      </c>
      <c r="B583" s="19" t="s">
        <v>148</v>
      </c>
      <c r="C583" s="19" t="s">
        <v>128</v>
      </c>
      <c r="D583" s="20">
        <v>113000</v>
      </c>
      <c r="E583" s="19"/>
      <c r="F583" s="19">
        <v>7</v>
      </c>
      <c r="G583" s="19" t="s">
        <v>155</v>
      </c>
      <c r="H583" s="19"/>
      <c r="I583" s="19" t="s">
        <v>130</v>
      </c>
      <c r="J583" s="19"/>
      <c r="K583" s="21"/>
    </row>
    <row r="584" spans="1:11" ht="29.25" customHeight="1" x14ac:dyDescent="0.25">
      <c r="A584" s="18">
        <v>109</v>
      </c>
      <c r="B584" s="19" t="s">
        <v>148</v>
      </c>
      <c r="C584" s="19" t="s">
        <v>128</v>
      </c>
      <c r="D584" s="20">
        <v>1800000</v>
      </c>
      <c r="E584" s="19"/>
      <c r="F584" s="19">
        <v>7</v>
      </c>
      <c r="G584" s="19" t="s">
        <v>160</v>
      </c>
      <c r="H584" s="19"/>
      <c r="I584" s="19" t="s">
        <v>130</v>
      </c>
      <c r="J584" s="19"/>
      <c r="K584" s="21" t="str">
        <f>"　"</f>
        <v>　</v>
      </c>
    </row>
    <row r="585" spans="1:11" ht="52.5" customHeight="1" x14ac:dyDescent="0.25">
      <c r="A585" s="30">
        <v>109</v>
      </c>
      <c r="B585" s="31" t="s">
        <v>786</v>
      </c>
      <c r="C585" s="31" t="s">
        <v>128</v>
      </c>
      <c r="D585" s="31"/>
      <c r="E585" s="32">
        <v>35914</v>
      </c>
      <c r="F585" s="31">
        <v>7</v>
      </c>
      <c r="G585" s="31" t="s">
        <v>1160</v>
      </c>
      <c r="H585" s="31" t="s">
        <v>1161</v>
      </c>
      <c r="I585" s="31" t="s">
        <v>166</v>
      </c>
      <c r="J585" s="31" t="s">
        <v>1162</v>
      </c>
      <c r="K585" s="33" t="str">
        <f>"00053815"</f>
        <v>00053815</v>
      </c>
    </row>
    <row r="586" spans="1:11" ht="53.25" customHeight="1" x14ac:dyDescent="0.25">
      <c r="A586" s="38">
        <v>109</v>
      </c>
      <c r="B586" s="39" t="s">
        <v>786</v>
      </c>
      <c r="C586" s="39" t="s">
        <v>128</v>
      </c>
      <c r="D586" s="39"/>
      <c r="E586" s="40">
        <v>34097</v>
      </c>
      <c r="F586" s="39">
        <v>7</v>
      </c>
      <c r="G586" s="39" t="s">
        <v>1163</v>
      </c>
      <c r="H586" s="39" t="s">
        <v>1161</v>
      </c>
      <c r="I586" s="39" t="s">
        <v>166</v>
      </c>
      <c r="J586" s="39" t="s">
        <v>922</v>
      </c>
      <c r="K586" s="27" t="str">
        <f>"00053768"</f>
        <v>00053768</v>
      </c>
    </row>
    <row r="587" spans="1:11" ht="56.25" customHeight="1" x14ac:dyDescent="0.25">
      <c r="A587" s="22">
        <v>109</v>
      </c>
      <c r="B587" s="23" t="s">
        <v>786</v>
      </c>
      <c r="C587" s="23" t="s">
        <v>128</v>
      </c>
      <c r="D587" s="23"/>
      <c r="E587" s="24">
        <v>38121</v>
      </c>
      <c r="F587" s="23">
        <v>7</v>
      </c>
      <c r="G587" s="23" t="s">
        <v>1164</v>
      </c>
      <c r="H587" s="23" t="s">
        <v>1161</v>
      </c>
      <c r="I587" s="23" t="s">
        <v>166</v>
      </c>
      <c r="J587" s="23" t="s">
        <v>1162</v>
      </c>
      <c r="K587" s="25" t="str">
        <f>"00053783"</f>
        <v>00053783</v>
      </c>
    </row>
    <row r="588" spans="1:11" ht="43.5" customHeight="1" x14ac:dyDescent="0.25">
      <c r="A588" s="22">
        <v>109</v>
      </c>
      <c r="B588" s="23" t="s">
        <v>786</v>
      </c>
      <c r="C588" s="23" t="s">
        <v>128</v>
      </c>
      <c r="D588" s="23"/>
      <c r="E588" s="24">
        <v>36711</v>
      </c>
      <c r="F588" s="23">
        <v>7</v>
      </c>
      <c r="G588" s="23" t="s">
        <v>1165</v>
      </c>
      <c r="H588" s="23" t="s">
        <v>1161</v>
      </c>
      <c r="I588" s="23" t="s">
        <v>166</v>
      </c>
      <c r="J588" s="23" t="s">
        <v>922</v>
      </c>
      <c r="K588" s="25" t="str">
        <f>"00053767"</f>
        <v>00053767</v>
      </c>
    </row>
    <row r="589" spans="1:11" ht="67.5" customHeight="1" x14ac:dyDescent="0.25">
      <c r="A589" s="22">
        <v>109</v>
      </c>
      <c r="B589" s="23" t="s">
        <v>786</v>
      </c>
      <c r="C589" s="23" t="s">
        <v>128</v>
      </c>
      <c r="D589" s="23"/>
      <c r="E589" s="24">
        <v>33442</v>
      </c>
      <c r="F589" s="23">
        <v>7</v>
      </c>
      <c r="G589" s="23" t="s">
        <v>1166</v>
      </c>
      <c r="H589" s="23" t="s">
        <v>1161</v>
      </c>
      <c r="I589" s="23" t="s">
        <v>166</v>
      </c>
      <c r="J589" s="23" t="s">
        <v>1162</v>
      </c>
      <c r="K589" s="25" t="str">
        <f>"00053798"</f>
        <v>00053798</v>
      </c>
    </row>
    <row r="590" spans="1:11" ht="61.5" customHeight="1" x14ac:dyDescent="0.25">
      <c r="A590" s="22">
        <v>109</v>
      </c>
      <c r="B590" s="23" t="s">
        <v>786</v>
      </c>
      <c r="C590" s="23" t="s">
        <v>128</v>
      </c>
      <c r="D590" s="23"/>
      <c r="E590" s="24">
        <v>35184</v>
      </c>
      <c r="F590" s="23">
        <v>7</v>
      </c>
      <c r="G590" s="23" t="s">
        <v>1167</v>
      </c>
      <c r="H590" s="23" t="s">
        <v>1161</v>
      </c>
      <c r="I590" s="23" t="s">
        <v>166</v>
      </c>
      <c r="J590" s="23" t="s">
        <v>1168</v>
      </c>
      <c r="K590" s="25" t="str">
        <f>"00053836"</f>
        <v>00053836</v>
      </c>
    </row>
    <row r="591" spans="1:11" ht="31.5" customHeight="1" x14ac:dyDescent="0.25">
      <c r="A591" s="74">
        <v>109</v>
      </c>
      <c r="B591" s="72" t="s">
        <v>786</v>
      </c>
      <c r="C591" s="72" t="s">
        <v>128</v>
      </c>
      <c r="D591" s="72"/>
      <c r="E591" s="76">
        <v>5000</v>
      </c>
      <c r="F591" s="72">
        <v>7</v>
      </c>
      <c r="G591" s="72" t="s">
        <v>1169</v>
      </c>
      <c r="H591" s="72" t="s">
        <v>1170</v>
      </c>
      <c r="I591" s="72" t="s">
        <v>876</v>
      </c>
      <c r="J591" s="72" t="s">
        <v>1171</v>
      </c>
      <c r="K591" s="25" t="str">
        <f>"00054107"</f>
        <v>00054107</v>
      </c>
    </row>
    <row r="592" spans="1:11" ht="47.25" customHeight="1" x14ac:dyDescent="0.25">
      <c r="A592" s="75"/>
      <c r="B592" s="73"/>
      <c r="C592" s="73"/>
      <c r="D592" s="73"/>
      <c r="E592" s="77"/>
      <c r="F592" s="73"/>
      <c r="G592" s="73"/>
      <c r="H592" s="73"/>
      <c r="I592" s="73"/>
      <c r="J592" s="73"/>
      <c r="K592" s="28" t="s">
        <v>1172</v>
      </c>
    </row>
    <row r="593" spans="1:11" ht="54.75" customHeight="1" x14ac:dyDescent="0.25">
      <c r="A593" s="22">
        <v>109</v>
      </c>
      <c r="B593" s="23" t="s">
        <v>786</v>
      </c>
      <c r="C593" s="23" t="s">
        <v>128</v>
      </c>
      <c r="D593" s="23"/>
      <c r="E593" s="24">
        <v>40062</v>
      </c>
      <c r="F593" s="23">
        <v>7</v>
      </c>
      <c r="G593" s="23" t="s">
        <v>1173</v>
      </c>
      <c r="H593" s="23" t="s">
        <v>1161</v>
      </c>
      <c r="I593" s="23" t="s">
        <v>166</v>
      </c>
      <c r="J593" s="23" t="s">
        <v>1162</v>
      </c>
      <c r="K593" s="25" t="str">
        <f>"00053786"</f>
        <v>00053786</v>
      </c>
    </row>
    <row r="594" spans="1:11" ht="31.5" customHeight="1" x14ac:dyDescent="0.25">
      <c r="A594" s="74">
        <v>109</v>
      </c>
      <c r="B594" s="72" t="s">
        <v>786</v>
      </c>
      <c r="C594" s="72" t="s">
        <v>128</v>
      </c>
      <c r="D594" s="72"/>
      <c r="E594" s="76">
        <v>5000</v>
      </c>
      <c r="F594" s="72">
        <v>7</v>
      </c>
      <c r="G594" s="72" t="s">
        <v>1174</v>
      </c>
      <c r="H594" s="72" t="s">
        <v>1175</v>
      </c>
      <c r="I594" s="72" t="s">
        <v>876</v>
      </c>
      <c r="J594" s="72" t="s">
        <v>1176</v>
      </c>
      <c r="K594" s="25" t="str">
        <f>"00054092"</f>
        <v>00054092</v>
      </c>
    </row>
    <row r="595" spans="1:11" ht="47.25" customHeight="1" x14ac:dyDescent="0.25">
      <c r="A595" s="75"/>
      <c r="B595" s="73"/>
      <c r="C595" s="73"/>
      <c r="D595" s="73"/>
      <c r="E595" s="77"/>
      <c r="F595" s="73"/>
      <c r="G595" s="73"/>
      <c r="H595" s="73"/>
      <c r="I595" s="73"/>
      <c r="J595" s="73"/>
      <c r="K595" s="28" t="s">
        <v>1172</v>
      </c>
    </row>
    <row r="596" spans="1:11" ht="31.5" customHeight="1" x14ac:dyDescent="0.25">
      <c r="A596" s="74">
        <v>109</v>
      </c>
      <c r="B596" s="72" t="s">
        <v>786</v>
      </c>
      <c r="C596" s="72" t="s">
        <v>128</v>
      </c>
      <c r="D596" s="72"/>
      <c r="E596" s="76">
        <v>20929</v>
      </c>
      <c r="F596" s="72">
        <v>7</v>
      </c>
      <c r="G596" s="72" t="s">
        <v>1174</v>
      </c>
      <c r="H596" s="72" t="s">
        <v>1177</v>
      </c>
      <c r="I596" s="72" t="s">
        <v>876</v>
      </c>
      <c r="J596" s="72" t="s">
        <v>1176</v>
      </c>
      <c r="K596" s="25" t="str">
        <f>"00054093"</f>
        <v>00054093</v>
      </c>
    </row>
    <row r="597" spans="1:11" ht="47.25" customHeight="1" x14ac:dyDescent="0.25">
      <c r="A597" s="75"/>
      <c r="B597" s="73"/>
      <c r="C597" s="73"/>
      <c r="D597" s="73"/>
      <c r="E597" s="77"/>
      <c r="F597" s="73"/>
      <c r="G597" s="73"/>
      <c r="H597" s="73"/>
      <c r="I597" s="73"/>
      <c r="J597" s="73"/>
      <c r="K597" s="28" t="s">
        <v>1172</v>
      </c>
    </row>
    <row r="598" spans="1:11" ht="54.75" customHeight="1" x14ac:dyDescent="0.25">
      <c r="A598" s="22">
        <v>109</v>
      </c>
      <c r="B598" s="23" t="s">
        <v>786</v>
      </c>
      <c r="C598" s="23" t="s">
        <v>128</v>
      </c>
      <c r="D598" s="23"/>
      <c r="E598" s="24">
        <v>37483</v>
      </c>
      <c r="F598" s="23">
        <v>7</v>
      </c>
      <c r="G598" s="23" t="s">
        <v>1178</v>
      </c>
      <c r="H598" s="23" t="s">
        <v>1161</v>
      </c>
      <c r="I598" s="23" t="s">
        <v>166</v>
      </c>
      <c r="J598" s="23" t="s">
        <v>1179</v>
      </c>
      <c r="K598" s="25" t="str">
        <f>"00053773"</f>
        <v>00053773</v>
      </c>
    </row>
    <row r="599" spans="1:11" ht="77.25" customHeight="1" x14ac:dyDescent="0.25">
      <c r="A599" s="22">
        <v>109</v>
      </c>
      <c r="B599" s="23" t="s">
        <v>786</v>
      </c>
      <c r="C599" s="23" t="s">
        <v>128</v>
      </c>
      <c r="D599" s="23"/>
      <c r="E599" s="24">
        <v>47353</v>
      </c>
      <c r="F599" s="23">
        <v>7</v>
      </c>
      <c r="G599" s="23" t="s">
        <v>1180</v>
      </c>
      <c r="H599" s="23" t="s">
        <v>1181</v>
      </c>
      <c r="I599" s="23" t="s">
        <v>166</v>
      </c>
      <c r="J599" s="23" t="s">
        <v>1182</v>
      </c>
      <c r="K599" s="25" t="str">
        <f>"00053796"</f>
        <v>00053796</v>
      </c>
    </row>
    <row r="600" spans="1:11" ht="42.75" customHeight="1" x14ac:dyDescent="0.25">
      <c r="A600" s="22">
        <v>109</v>
      </c>
      <c r="B600" s="23" t="s">
        <v>786</v>
      </c>
      <c r="C600" s="23" t="s">
        <v>128</v>
      </c>
      <c r="D600" s="23"/>
      <c r="E600" s="24">
        <v>37993</v>
      </c>
      <c r="F600" s="23">
        <v>7</v>
      </c>
      <c r="G600" s="23" t="s">
        <v>1183</v>
      </c>
      <c r="H600" s="23" t="s">
        <v>1161</v>
      </c>
      <c r="I600" s="23" t="s">
        <v>166</v>
      </c>
      <c r="J600" s="23" t="s">
        <v>1162</v>
      </c>
      <c r="K600" s="25" t="str">
        <f>"00053799"</f>
        <v>00053799</v>
      </c>
    </row>
    <row r="601" spans="1:11" ht="51" customHeight="1" x14ac:dyDescent="0.25">
      <c r="A601" s="22">
        <v>109</v>
      </c>
      <c r="B601" s="23" t="s">
        <v>786</v>
      </c>
      <c r="C601" s="23" t="s">
        <v>128</v>
      </c>
      <c r="D601" s="23"/>
      <c r="E601" s="24">
        <v>34279</v>
      </c>
      <c r="F601" s="23">
        <v>7</v>
      </c>
      <c r="G601" s="23" t="s">
        <v>1160</v>
      </c>
      <c r="H601" s="23" t="s">
        <v>1161</v>
      </c>
      <c r="I601" s="23" t="s">
        <v>166</v>
      </c>
      <c r="J601" s="23" t="s">
        <v>1184</v>
      </c>
      <c r="K601" s="25" t="str">
        <f>"00053797"</f>
        <v>00053797</v>
      </c>
    </row>
    <row r="602" spans="1:11" x14ac:dyDescent="0.25">
      <c r="A602" s="81" t="s">
        <v>1185</v>
      </c>
      <c r="B602" s="82"/>
      <c r="C602" s="55"/>
      <c r="D602" s="55"/>
      <c r="E602" s="55"/>
      <c r="F602" s="55"/>
      <c r="G602" s="55"/>
      <c r="H602" s="55"/>
      <c r="I602" s="55"/>
      <c r="J602" s="55"/>
      <c r="K602" s="56"/>
    </row>
    <row r="603" spans="1:11" s="17" customFormat="1" ht="32.1" customHeight="1" x14ac:dyDescent="0.25">
      <c r="A603" s="41">
        <v>109</v>
      </c>
      <c r="B603" s="42" t="s">
        <v>127</v>
      </c>
      <c r="C603" s="42" t="s">
        <v>128</v>
      </c>
      <c r="D603" s="43">
        <v>200000</v>
      </c>
      <c r="E603" s="42"/>
      <c r="F603" s="42">
        <v>8</v>
      </c>
      <c r="G603" s="42" t="s">
        <v>129</v>
      </c>
      <c r="H603" s="42"/>
      <c r="I603" s="42" t="s">
        <v>130</v>
      </c>
      <c r="J603" s="42"/>
      <c r="K603" s="44" t="str">
        <f>"　"</f>
        <v>　</v>
      </c>
    </row>
    <row r="604" spans="1:11" x14ac:dyDescent="0.25">
      <c r="A604" s="83" t="s">
        <v>789</v>
      </c>
      <c r="B604" s="84"/>
      <c r="C604" s="15"/>
      <c r="D604" s="15"/>
      <c r="E604" s="15"/>
      <c r="F604" s="15"/>
      <c r="G604" s="15"/>
      <c r="H604" s="15"/>
      <c r="I604" s="15"/>
      <c r="J604" s="15"/>
      <c r="K604" s="16"/>
    </row>
    <row r="605" spans="1:11" s="17" customFormat="1" ht="52.5" customHeight="1" x14ac:dyDescent="0.25">
      <c r="A605" s="22">
        <v>109</v>
      </c>
      <c r="B605" s="23" t="s">
        <v>1186</v>
      </c>
      <c r="C605" s="23" t="s">
        <v>128</v>
      </c>
      <c r="D605" s="23"/>
      <c r="E605" s="24">
        <v>62924</v>
      </c>
      <c r="F605" s="23">
        <v>3</v>
      </c>
      <c r="G605" s="23" t="s">
        <v>1187</v>
      </c>
      <c r="H605" s="23" t="s">
        <v>1188</v>
      </c>
      <c r="I605" s="23" t="s">
        <v>262</v>
      </c>
      <c r="J605" s="23" t="s">
        <v>1189</v>
      </c>
      <c r="K605" s="25" t="str">
        <f>"00053400"</f>
        <v>00053400</v>
      </c>
    </row>
    <row r="606" spans="1:11" ht="18" customHeight="1" x14ac:dyDescent="0.25">
      <c r="A606" s="74">
        <v>109</v>
      </c>
      <c r="B606" s="72" t="s">
        <v>1190</v>
      </c>
      <c r="C606" s="72" t="s">
        <v>128</v>
      </c>
      <c r="D606" s="72"/>
      <c r="E606" s="76">
        <v>6000</v>
      </c>
      <c r="F606" s="72">
        <v>3</v>
      </c>
      <c r="G606" s="72" t="s">
        <v>1190</v>
      </c>
      <c r="H606" s="72" t="s">
        <v>1191</v>
      </c>
      <c r="I606" s="72" t="s">
        <v>876</v>
      </c>
      <c r="J606" s="72" t="s">
        <v>1192</v>
      </c>
      <c r="K606" s="25" t="str">
        <f>"00054222"</f>
        <v>00054222</v>
      </c>
    </row>
    <row r="607" spans="1:11" ht="56.25" customHeight="1" x14ac:dyDescent="0.25">
      <c r="A607" s="75"/>
      <c r="B607" s="73"/>
      <c r="C607" s="73"/>
      <c r="D607" s="73"/>
      <c r="E607" s="77"/>
      <c r="F607" s="73"/>
      <c r="G607" s="73"/>
      <c r="H607" s="73"/>
      <c r="I607" s="73"/>
      <c r="J607" s="73"/>
      <c r="K607" s="28" t="s">
        <v>562</v>
      </c>
    </row>
    <row r="608" spans="1:11" ht="67.5" customHeight="1" x14ac:dyDescent="0.25">
      <c r="A608" s="22">
        <v>109</v>
      </c>
      <c r="B608" s="23" t="s">
        <v>1193</v>
      </c>
      <c r="C608" s="23" t="s">
        <v>128</v>
      </c>
      <c r="D608" s="23"/>
      <c r="E608" s="24">
        <v>28710</v>
      </c>
      <c r="F608" s="23">
        <v>3</v>
      </c>
      <c r="G608" s="23" t="s">
        <v>1193</v>
      </c>
      <c r="H608" s="23" t="s">
        <v>492</v>
      </c>
      <c r="I608" s="23" t="s">
        <v>262</v>
      </c>
      <c r="J608" s="23" t="s">
        <v>493</v>
      </c>
      <c r="K608" s="25" t="str">
        <f>"00053656"</f>
        <v>00053656</v>
      </c>
    </row>
    <row r="609" spans="1:11" ht="14.25" customHeight="1" x14ac:dyDescent="0.25">
      <c r="A609" s="74">
        <v>109</v>
      </c>
      <c r="B609" s="72" t="s">
        <v>990</v>
      </c>
      <c r="C609" s="72" t="s">
        <v>128</v>
      </c>
      <c r="D609" s="72"/>
      <c r="E609" s="76">
        <v>29800</v>
      </c>
      <c r="F609" s="72">
        <v>3</v>
      </c>
      <c r="G609" s="72" t="s">
        <v>1194</v>
      </c>
      <c r="H609" s="72" t="s">
        <v>992</v>
      </c>
      <c r="I609" s="72" t="s">
        <v>993</v>
      </c>
      <c r="J609" s="72" t="s">
        <v>994</v>
      </c>
      <c r="K609" s="25" t="str">
        <f>"00048807"</f>
        <v>00048807</v>
      </c>
    </row>
    <row r="610" spans="1:11" ht="75.75" customHeight="1" x14ac:dyDescent="0.25">
      <c r="A610" s="75"/>
      <c r="B610" s="73"/>
      <c r="C610" s="73"/>
      <c r="D610" s="73"/>
      <c r="E610" s="77"/>
      <c r="F610" s="73"/>
      <c r="G610" s="73"/>
      <c r="H610" s="73"/>
      <c r="I610" s="73"/>
      <c r="J610" s="73"/>
      <c r="K610" s="48" t="s">
        <v>995</v>
      </c>
    </row>
    <row r="611" spans="1:11" ht="22.5" customHeight="1" x14ac:dyDescent="0.25">
      <c r="A611" s="74">
        <v>109</v>
      </c>
      <c r="B611" s="72" t="s">
        <v>1195</v>
      </c>
      <c r="C611" s="72" t="s">
        <v>128</v>
      </c>
      <c r="D611" s="72"/>
      <c r="E611" s="76">
        <v>175000</v>
      </c>
      <c r="F611" s="72">
        <v>3</v>
      </c>
      <c r="G611" s="72" t="s">
        <v>1195</v>
      </c>
      <c r="H611" s="72" t="s">
        <v>1196</v>
      </c>
      <c r="I611" s="72" t="s">
        <v>142</v>
      </c>
      <c r="J611" s="72" t="s">
        <v>845</v>
      </c>
      <c r="K611" s="25" t="str">
        <f>"00054449"</f>
        <v>00054449</v>
      </c>
    </row>
    <row r="612" spans="1:11" ht="35.1" customHeight="1" x14ac:dyDescent="0.25">
      <c r="A612" s="75"/>
      <c r="B612" s="73"/>
      <c r="C612" s="73"/>
      <c r="D612" s="73"/>
      <c r="E612" s="77"/>
      <c r="F612" s="73"/>
      <c r="G612" s="73"/>
      <c r="H612" s="73"/>
      <c r="I612" s="73"/>
      <c r="J612" s="73"/>
      <c r="K612" s="48" t="s">
        <v>1197</v>
      </c>
    </row>
    <row r="613" spans="1:11" ht="22.5" customHeight="1" x14ac:dyDescent="0.25">
      <c r="A613" s="74">
        <v>108</v>
      </c>
      <c r="B613" s="72" t="s">
        <v>1198</v>
      </c>
      <c r="C613" s="72" t="s">
        <v>128</v>
      </c>
      <c r="D613" s="72"/>
      <c r="E613" s="76">
        <v>-15129</v>
      </c>
      <c r="F613" s="72">
        <v>3</v>
      </c>
      <c r="G613" s="72" t="s">
        <v>1198</v>
      </c>
      <c r="H613" s="72" t="s">
        <v>1199</v>
      </c>
      <c r="I613" s="72" t="s">
        <v>142</v>
      </c>
      <c r="J613" s="72" t="s">
        <v>1200</v>
      </c>
      <c r="K613" s="25" t="str">
        <f>"00053324"</f>
        <v>00053324</v>
      </c>
    </row>
    <row r="614" spans="1:11" ht="35.1" customHeight="1" x14ac:dyDescent="0.25">
      <c r="A614" s="75"/>
      <c r="B614" s="73"/>
      <c r="C614" s="73"/>
      <c r="D614" s="73"/>
      <c r="E614" s="77"/>
      <c r="F614" s="73"/>
      <c r="G614" s="73"/>
      <c r="H614" s="73"/>
      <c r="I614" s="73"/>
      <c r="J614" s="73"/>
      <c r="K614" s="28" t="s">
        <v>1201</v>
      </c>
    </row>
    <row r="615" spans="1:11" x14ac:dyDescent="0.25">
      <c r="A615" s="69" t="s">
        <v>126</v>
      </c>
      <c r="B615" s="70"/>
      <c r="C615" s="15"/>
      <c r="D615" s="15"/>
      <c r="E615" s="15"/>
      <c r="F615" s="15"/>
      <c r="G615" s="15"/>
      <c r="H615" s="15"/>
      <c r="I615" s="15"/>
      <c r="J615" s="15"/>
      <c r="K615" s="16"/>
    </row>
    <row r="616" spans="1:11" s="17" customFormat="1" ht="64.5" customHeight="1" x14ac:dyDescent="0.25">
      <c r="A616" s="22">
        <v>109</v>
      </c>
      <c r="B616" s="23" t="s">
        <v>1202</v>
      </c>
      <c r="C616" s="23" t="s">
        <v>128</v>
      </c>
      <c r="D616" s="23"/>
      <c r="E616" s="24">
        <v>10486</v>
      </c>
      <c r="F616" s="23">
        <v>4</v>
      </c>
      <c r="G616" s="23" t="s">
        <v>1203</v>
      </c>
      <c r="H616" s="23" t="s">
        <v>1204</v>
      </c>
      <c r="I616" s="23" t="s">
        <v>1205</v>
      </c>
      <c r="J616" s="23" t="s">
        <v>1206</v>
      </c>
      <c r="K616" s="25" t="str">
        <f>"00053473"</f>
        <v>00053473</v>
      </c>
    </row>
    <row r="617" spans="1:11" ht="14.25" customHeight="1" x14ac:dyDescent="0.25">
      <c r="A617" s="74">
        <v>109</v>
      </c>
      <c r="B617" s="72" t="s">
        <v>1207</v>
      </c>
      <c r="C617" s="72" t="s">
        <v>128</v>
      </c>
      <c r="D617" s="72"/>
      <c r="E617" s="76">
        <v>6000</v>
      </c>
      <c r="F617" s="72">
        <v>4</v>
      </c>
      <c r="G617" s="72" t="s">
        <v>1207</v>
      </c>
      <c r="H617" s="72" t="s">
        <v>1191</v>
      </c>
      <c r="I617" s="72" t="s">
        <v>876</v>
      </c>
      <c r="J617" s="72" t="s">
        <v>1192</v>
      </c>
      <c r="K617" s="25" t="str">
        <f>"00054223"</f>
        <v>00054223</v>
      </c>
    </row>
    <row r="618" spans="1:11" ht="53.25" customHeight="1" x14ac:dyDescent="0.25">
      <c r="A618" s="75"/>
      <c r="B618" s="73"/>
      <c r="C618" s="73"/>
      <c r="D618" s="73"/>
      <c r="E618" s="77"/>
      <c r="F618" s="73"/>
      <c r="G618" s="73"/>
      <c r="H618" s="73"/>
      <c r="I618" s="73"/>
      <c r="J618" s="73"/>
      <c r="K618" s="28" t="s">
        <v>480</v>
      </c>
    </row>
    <row r="619" spans="1:11" ht="89.25" customHeight="1" x14ac:dyDescent="0.25">
      <c r="A619" s="22">
        <v>109</v>
      </c>
      <c r="B619" s="23" t="s">
        <v>1208</v>
      </c>
      <c r="C619" s="23" t="s">
        <v>128</v>
      </c>
      <c r="D619" s="23"/>
      <c r="E619" s="24">
        <v>6387</v>
      </c>
      <c r="F619" s="23">
        <v>4</v>
      </c>
      <c r="G619" s="23" t="s">
        <v>692</v>
      </c>
      <c r="H619" s="23" t="s">
        <v>693</v>
      </c>
      <c r="I619" s="23" t="s">
        <v>532</v>
      </c>
      <c r="J619" s="23" t="s">
        <v>694</v>
      </c>
      <c r="K619" s="25" t="str">
        <f>"00053701"</f>
        <v>00053701</v>
      </c>
    </row>
    <row r="620" spans="1:11" ht="60.75" customHeight="1" x14ac:dyDescent="0.25">
      <c r="A620" s="22">
        <v>109</v>
      </c>
      <c r="B620" s="23" t="s">
        <v>1202</v>
      </c>
      <c r="C620" s="23" t="s">
        <v>128</v>
      </c>
      <c r="D620" s="23"/>
      <c r="E620" s="24">
        <v>39606</v>
      </c>
      <c r="F620" s="23">
        <v>4</v>
      </c>
      <c r="G620" s="23" t="s">
        <v>1209</v>
      </c>
      <c r="H620" s="23" t="s">
        <v>196</v>
      </c>
      <c r="I620" s="23" t="s">
        <v>197</v>
      </c>
      <c r="J620" s="23" t="s">
        <v>197</v>
      </c>
      <c r="K620" s="25" t="str">
        <f>"00046386"</f>
        <v>00046386</v>
      </c>
    </row>
    <row r="621" spans="1:11" ht="80.25" customHeight="1" x14ac:dyDescent="0.25">
      <c r="A621" s="22">
        <v>109</v>
      </c>
      <c r="B621" s="23" t="s">
        <v>1141</v>
      </c>
      <c r="C621" s="23" t="s">
        <v>128</v>
      </c>
      <c r="D621" s="23"/>
      <c r="E621" s="24">
        <v>22625</v>
      </c>
      <c r="F621" s="23">
        <v>4</v>
      </c>
      <c r="G621" s="23" t="s">
        <v>1210</v>
      </c>
      <c r="H621" s="23" t="s">
        <v>196</v>
      </c>
      <c r="I621" s="23" t="s">
        <v>197</v>
      </c>
      <c r="J621" s="23" t="s">
        <v>197</v>
      </c>
      <c r="K621" s="25" t="str">
        <f>"00053426"</f>
        <v>00053426</v>
      </c>
    </row>
    <row r="622" spans="1:11" ht="58.5" customHeight="1" x14ac:dyDescent="0.25">
      <c r="A622" s="30">
        <v>109</v>
      </c>
      <c r="B622" s="31" t="s">
        <v>1211</v>
      </c>
      <c r="C622" s="31" t="s">
        <v>128</v>
      </c>
      <c r="D622" s="31"/>
      <c r="E622" s="32">
        <v>12241</v>
      </c>
      <c r="F622" s="31">
        <v>4</v>
      </c>
      <c r="G622" s="31" t="s">
        <v>1212</v>
      </c>
      <c r="H622" s="31" t="s">
        <v>403</v>
      </c>
      <c r="I622" s="31" t="s">
        <v>404</v>
      </c>
      <c r="J622" s="31" t="s">
        <v>405</v>
      </c>
      <c r="K622" s="33" t="str">
        <f>"00054259"</f>
        <v>00054259</v>
      </c>
    </row>
    <row r="623" spans="1:11" ht="41.25" customHeight="1" x14ac:dyDescent="0.25">
      <c r="A623" s="38">
        <v>109</v>
      </c>
      <c r="B623" s="39" t="s">
        <v>1213</v>
      </c>
      <c r="C623" s="39" t="s">
        <v>128</v>
      </c>
      <c r="D623" s="39"/>
      <c r="E623" s="40">
        <v>51204</v>
      </c>
      <c r="F623" s="39">
        <v>4</v>
      </c>
      <c r="G623" s="39" t="s">
        <v>1213</v>
      </c>
      <c r="H623" s="39" t="s">
        <v>1214</v>
      </c>
      <c r="I623" s="39" t="s">
        <v>1215</v>
      </c>
      <c r="J623" s="39" t="s">
        <v>1216</v>
      </c>
      <c r="K623" s="27" t="str">
        <f>"00053922"</f>
        <v>00053922</v>
      </c>
    </row>
    <row r="624" spans="1:11" ht="36" customHeight="1" x14ac:dyDescent="0.25">
      <c r="A624" s="74">
        <v>109</v>
      </c>
      <c r="B624" s="72" t="s">
        <v>1217</v>
      </c>
      <c r="C624" s="72" t="s">
        <v>128</v>
      </c>
      <c r="D624" s="72"/>
      <c r="E624" s="76">
        <v>3800</v>
      </c>
      <c r="F624" s="72">
        <v>4</v>
      </c>
      <c r="G624" s="72" t="s">
        <v>1218</v>
      </c>
      <c r="H624" s="72" t="s">
        <v>1219</v>
      </c>
      <c r="I624" s="72" t="s">
        <v>334</v>
      </c>
      <c r="J624" s="72" t="s">
        <v>335</v>
      </c>
      <c r="K624" s="25" t="str">
        <f>"00053729"</f>
        <v>00053729</v>
      </c>
    </row>
    <row r="625" spans="1:11" ht="47.25" customHeight="1" x14ac:dyDescent="0.25">
      <c r="A625" s="75"/>
      <c r="B625" s="73"/>
      <c r="C625" s="73"/>
      <c r="D625" s="73"/>
      <c r="E625" s="77"/>
      <c r="F625" s="73"/>
      <c r="G625" s="73"/>
      <c r="H625" s="73"/>
      <c r="I625" s="73"/>
      <c r="J625" s="73"/>
      <c r="K625" s="28" t="s">
        <v>177</v>
      </c>
    </row>
    <row r="626" spans="1:11" ht="58.5" customHeight="1" x14ac:dyDescent="0.25">
      <c r="A626" s="22">
        <v>109</v>
      </c>
      <c r="B626" s="23" t="s">
        <v>1220</v>
      </c>
      <c r="C626" s="23" t="s">
        <v>128</v>
      </c>
      <c r="D626" s="23"/>
      <c r="E626" s="24">
        <v>64435</v>
      </c>
      <c r="F626" s="23">
        <v>4</v>
      </c>
      <c r="G626" s="23" t="s">
        <v>1221</v>
      </c>
      <c r="H626" s="23" t="s">
        <v>1222</v>
      </c>
      <c r="I626" s="23" t="s">
        <v>166</v>
      </c>
      <c r="J626" s="23" t="s">
        <v>181</v>
      </c>
      <c r="K626" s="25" t="str">
        <f>"00053455"</f>
        <v>00053455</v>
      </c>
    </row>
    <row r="627" spans="1:11" ht="50.25" customHeight="1" x14ac:dyDescent="0.25">
      <c r="A627" s="22">
        <v>109</v>
      </c>
      <c r="B627" s="23" t="s">
        <v>1223</v>
      </c>
      <c r="C627" s="23" t="s">
        <v>128</v>
      </c>
      <c r="D627" s="23"/>
      <c r="E627" s="24">
        <v>1202</v>
      </c>
      <c r="F627" s="23">
        <v>4</v>
      </c>
      <c r="G627" s="23" t="s">
        <v>1223</v>
      </c>
      <c r="H627" s="23" t="s">
        <v>1224</v>
      </c>
      <c r="I627" s="23" t="s">
        <v>142</v>
      </c>
      <c r="J627" s="23" t="s">
        <v>498</v>
      </c>
      <c r="K627" s="25" t="str">
        <f>"00054353"</f>
        <v>00054353</v>
      </c>
    </row>
    <row r="628" spans="1:11" ht="14.25" customHeight="1" x14ac:dyDescent="0.25">
      <c r="A628" s="74">
        <v>109</v>
      </c>
      <c r="B628" s="72" t="s">
        <v>1225</v>
      </c>
      <c r="C628" s="72" t="s">
        <v>128</v>
      </c>
      <c r="D628" s="72"/>
      <c r="E628" s="76">
        <v>3000</v>
      </c>
      <c r="F628" s="72">
        <v>4</v>
      </c>
      <c r="G628" s="72" t="s">
        <v>1225</v>
      </c>
      <c r="H628" s="72" t="s">
        <v>1226</v>
      </c>
      <c r="I628" s="72" t="s">
        <v>607</v>
      </c>
      <c r="J628" s="72" t="s">
        <v>608</v>
      </c>
      <c r="K628" s="25" t="str">
        <f>"00054242"</f>
        <v>00054242</v>
      </c>
    </row>
    <row r="629" spans="1:11" ht="57.75" customHeight="1" x14ac:dyDescent="0.25">
      <c r="A629" s="75"/>
      <c r="B629" s="73"/>
      <c r="C629" s="73"/>
      <c r="D629" s="73"/>
      <c r="E629" s="77"/>
      <c r="F629" s="73"/>
      <c r="G629" s="73"/>
      <c r="H629" s="73"/>
      <c r="I629" s="73"/>
      <c r="J629" s="73"/>
      <c r="K629" s="28" t="s">
        <v>311</v>
      </c>
    </row>
    <row r="630" spans="1:11" ht="54" customHeight="1" x14ac:dyDescent="0.25">
      <c r="A630" s="22">
        <v>109</v>
      </c>
      <c r="B630" s="23" t="s">
        <v>1227</v>
      </c>
      <c r="C630" s="23" t="s">
        <v>128</v>
      </c>
      <c r="D630" s="23"/>
      <c r="E630" s="24">
        <v>53093</v>
      </c>
      <c r="F630" s="23">
        <v>4</v>
      </c>
      <c r="G630" s="23" t="s">
        <v>1227</v>
      </c>
      <c r="H630" s="23" t="s">
        <v>1228</v>
      </c>
      <c r="I630" s="23" t="s">
        <v>142</v>
      </c>
      <c r="J630" s="23" t="s">
        <v>271</v>
      </c>
      <c r="K630" s="25" t="str">
        <f>"00053110"</f>
        <v>00053110</v>
      </c>
    </row>
    <row r="631" spans="1:11" ht="57.75" customHeight="1" x14ac:dyDescent="0.25">
      <c r="A631" s="22">
        <v>109</v>
      </c>
      <c r="B631" s="23" t="s">
        <v>1229</v>
      </c>
      <c r="C631" s="23" t="s">
        <v>128</v>
      </c>
      <c r="D631" s="23"/>
      <c r="E631" s="24">
        <v>9527</v>
      </c>
      <c r="F631" s="23">
        <v>4</v>
      </c>
      <c r="G631" s="23" t="s">
        <v>294</v>
      </c>
      <c r="H631" s="23" t="s">
        <v>330</v>
      </c>
      <c r="I631" s="23" t="s">
        <v>142</v>
      </c>
      <c r="J631" s="23" t="s">
        <v>271</v>
      </c>
      <c r="K631" s="25" t="str">
        <f>"00052854"</f>
        <v>00052854</v>
      </c>
    </row>
    <row r="632" spans="1:11" ht="57.75" customHeight="1" x14ac:dyDescent="0.25">
      <c r="A632" s="22">
        <v>109</v>
      </c>
      <c r="B632" s="23" t="s">
        <v>1230</v>
      </c>
      <c r="C632" s="23" t="s">
        <v>128</v>
      </c>
      <c r="D632" s="23"/>
      <c r="E632" s="24">
        <v>13898</v>
      </c>
      <c r="F632" s="23">
        <v>4</v>
      </c>
      <c r="G632" s="23" t="s">
        <v>352</v>
      </c>
      <c r="H632" s="23" t="s">
        <v>353</v>
      </c>
      <c r="I632" s="23" t="s">
        <v>354</v>
      </c>
      <c r="J632" s="23" t="s">
        <v>355</v>
      </c>
      <c r="K632" s="25" t="str">
        <f>"00048417"</f>
        <v>00048417</v>
      </c>
    </row>
    <row r="633" spans="1:11" ht="58.5" customHeight="1" x14ac:dyDescent="0.25">
      <c r="A633" s="22">
        <v>109</v>
      </c>
      <c r="B633" s="23" t="s">
        <v>1231</v>
      </c>
      <c r="C633" s="23" t="s">
        <v>128</v>
      </c>
      <c r="D633" s="23"/>
      <c r="E633" s="24">
        <v>52916</v>
      </c>
      <c r="F633" s="23">
        <v>4</v>
      </c>
      <c r="G633" s="23" t="s">
        <v>1232</v>
      </c>
      <c r="H633" s="23" t="s">
        <v>1233</v>
      </c>
      <c r="I633" s="23" t="s">
        <v>166</v>
      </c>
      <c r="J633" s="23" t="s">
        <v>795</v>
      </c>
      <c r="K633" s="25" t="str">
        <f>"00052639"</f>
        <v>00052639</v>
      </c>
    </row>
    <row r="634" spans="1:11" ht="75" customHeight="1" x14ac:dyDescent="0.25">
      <c r="A634" s="22">
        <v>109</v>
      </c>
      <c r="B634" s="23" t="s">
        <v>1234</v>
      </c>
      <c r="C634" s="23" t="s">
        <v>128</v>
      </c>
      <c r="D634" s="23"/>
      <c r="E634" s="24">
        <v>15992</v>
      </c>
      <c r="F634" s="23">
        <v>4</v>
      </c>
      <c r="G634" s="23" t="s">
        <v>324</v>
      </c>
      <c r="H634" s="23" t="s">
        <v>290</v>
      </c>
      <c r="I634" s="23" t="s">
        <v>142</v>
      </c>
      <c r="J634" s="23" t="s">
        <v>271</v>
      </c>
      <c r="K634" s="25" t="str">
        <f>"00052402"</f>
        <v>00052402</v>
      </c>
    </row>
    <row r="635" spans="1:11" ht="52.5" customHeight="1" x14ac:dyDescent="0.25">
      <c r="A635" s="22">
        <v>109</v>
      </c>
      <c r="B635" s="23" t="s">
        <v>1235</v>
      </c>
      <c r="C635" s="23" t="s">
        <v>128</v>
      </c>
      <c r="D635" s="23"/>
      <c r="E635" s="24">
        <v>20581</v>
      </c>
      <c r="F635" s="23">
        <v>4</v>
      </c>
      <c r="G635" s="23" t="s">
        <v>514</v>
      </c>
      <c r="H635" s="23" t="s">
        <v>515</v>
      </c>
      <c r="I635" s="23" t="s">
        <v>262</v>
      </c>
      <c r="J635" s="23" t="s">
        <v>516</v>
      </c>
      <c r="K635" s="25" t="str">
        <f>"00053265"</f>
        <v>00053265</v>
      </c>
    </row>
    <row r="636" spans="1:11" ht="52.5" customHeight="1" x14ac:dyDescent="0.25">
      <c r="A636" s="22">
        <v>109</v>
      </c>
      <c r="B636" s="23" t="s">
        <v>1236</v>
      </c>
      <c r="C636" s="23" t="s">
        <v>128</v>
      </c>
      <c r="D636" s="23"/>
      <c r="E636" s="24">
        <v>132855</v>
      </c>
      <c r="F636" s="23">
        <v>4</v>
      </c>
      <c r="G636" s="23" t="s">
        <v>1237</v>
      </c>
      <c r="H636" s="23" t="s">
        <v>1238</v>
      </c>
      <c r="I636" s="23" t="s">
        <v>166</v>
      </c>
      <c r="J636" s="23" t="s">
        <v>1239</v>
      </c>
      <c r="K636" s="25" t="str">
        <f>"00052901"</f>
        <v>00052901</v>
      </c>
    </row>
    <row r="637" spans="1:11" ht="56.25" customHeight="1" x14ac:dyDescent="0.25">
      <c r="A637" s="22">
        <v>109</v>
      </c>
      <c r="B637" s="23" t="s">
        <v>1240</v>
      </c>
      <c r="C637" s="23" t="s">
        <v>128</v>
      </c>
      <c r="D637" s="23"/>
      <c r="E637" s="24">
        <v>50000</v>
      </c>
      <c r="F637" s="23">
        <v>4</v>
      </c>
      <c r="G637" s="23" t="s">
        <v>1240</v>
      </c>
      <c r="H637" s="23" t="s">
        <v>1241</v>
      </c>
      <c r="I637" s="23" t="s">
        <v>142</v>
      </c>
      <c r="J637" s="23" t="s">
        <v>1242</v>
      </c>
      <c r="K637" s="25" t="str">
        <f>"00053552"</f>
        <v>00053552</v>
      </c>
    </row>
    <row r="638" spans="1:11" ht="56.25" customHeight="1" x14ac:dyDescent="0.25">
      <c r="A638" s="30">
        <v>109</v>
      </c>
      <c r="B638" s="31" t="s">
        <v>1243</v>
      </c>
      <c r="C638" s="31" t="s">
        <v>128</v>
      </c>
      <c r="D638" s="31"/>
      <c r="E638" s="32">
        <v>8176</v>
      </c>
      <c r="F638" s="31">
        <v>4</v>
      </c>
      <c r="G638" s="31" t="s">
        <v>635</v>
      </c>
      <c r="H638" s="31" t="s">
        <v>636</v>
      </c>
      <c r="I638" s="31" t="s">
        <v>142</v>
      </c>
      <c r="J638" s="31" t="s">
        <v>153</v>
      </c>
      <c r="K638" s="33" t="str">
        <f>"00052923"</f>
        <v>00052923</v>
      </c>
    </row>
    <row r="639" spans="1:11" ht="78" customHeight="1" x14ac:dyDescent="0.25">
      <c r="A639" s="38">
        <v>109</v>
      </c>
      <c r="B639" s="39" t="s">
        <v>1244</v>
      </c>
      <c r="C639" s="39" t="s">
        <v>128</v>
      </c>
      <c r="D639" s="39"/>
      <c r="E639" s="40">
        <v>66643</v>
      </c>
      <c r="F639" s="39">
        <v>4</v>
      </c>
      <c r="G639" s="39" t="s">
        <v>1245</v>
      </c>
      <c r="H639" s="39" t="s">
        <v>1246</v>
      </c>
      <c r="I639" s="39" t="s">
        <v>474</v>
      </c>
      <c r="J639" s="39" t="s">
        <v>1247</v>
      </c>
      <c r="K639" s="27" t="str">
        <f>"00052942"</f>
        <v>00052942</v>
      </c>
    </row>
    <row r="640" spans="1:11" ht="47.25" customHeight="1" x14ac:dyDescent="0.25">
      <c r="A640" s="22">
        <v>109</v>
      </c>
      <c r="B640" s="23" t="s">
        <v>1248</v>
      </c>
      <c r="C640" s="23" t="s">
        <v>128</v>
      </c>
      <c r="D640" s="23"/>
      <c r="E640" s="24">
        <v>27000</v>
      </c>
      <c r="F640" s="23">
        <v>4</v>
      </c>
      <c r="G640" s="23" t="s">
        <v>1249</v>
      </c>
      <c r="H640" s="23" t="s">
        <v>855</v>
      </c>
      <c r="I640" s="23" t="s">
        <v>142</v>
      </c>
      <c r="J640" s="23" t="s">
        <v>413</v>
      </c>
      <c r="K640" s="25" t="str">
        <f>"00053779"</f>
        <v>00053779</v>
      </c>
    </row>
    <row r="641" spans="1:11" ht="47.25" customHeight="1" x14ac:dyDescent="0.25">
      <c r="A641" s="22">
        <v>109</v>
      </c>
      <c r="B641" s="23" t="s">
        <v>1250</v>
      </c>
      <c r="C641" s="23" t="s">
        <v>128</v>
      </c>
      <c r="D641" s="23"/>
      <c r="E641" s="24">
        <v>18700</v>
      </c>
      <c r="F641" s="23">
        <v>4</v>
      </c>
      <c r="G641" s="23" t="s">
        <v>1251</v>
      </c>
      <c r="H641" s="23" t="s">
        <v>1252</v>
      </c>
      <c r="I641" s="23" t="s">
        <v>197</v>
      </c>
      <c r="J641" s="23" t="s">
        <v>197</v>
      </c>
      <c r="K641" s="25" t="str">
        <f>"00053435"</f>
        <v>00053435</v>
      </c>
    </row>
    <row r="642" spans="1:11" ht="57" customHeight="1" x14ac:dyDescent="0.25">
      <c r="A642" s="22">
        <v>109</v>
      </c>
      <c r="B642" s="23" t="s">
        <v>1248</v>
      </c>
      <c r="C642" s="23" t="s">
        <v>128</v>
      </c>
      <c r="D642" s="23"/>
      <c r="E642" s="24">
        <v>27000</v>
      </c>
      <c r="F642" s="23">
        <v>4</v>
      </c>
      <c r="G642" s="23" t="s">
        <v>1253</v>
      </c>
      <c r="H642" s="23" t="s">
        <v>855</v>
      </c>
      <c r="I642" s="23" t="s">
        <v>142</v>
      </c>
      <c r="J642" s="23" t="s">
        <v>413</v>
      </c>
      <c r="K642" s="25" t="str">
        <f>"00053825"</f>
        <v>00053825</v>
      </c>
    </row>
    <row r="643" spans="1:11" ht="47.25" customHeight="1" x14ac:dyDescent="0.25">
      <c r="A643" s="22">
        <v>109</v>
      </c>
      <c r="B643" s="23" t="s">
        <v>1254</v>
      </c>
      <c r="C643" s="23" t="s">
        <v>128</v>
      </c>
      <c r="D643" s="23"/>
      <c r="E643" s="24">
        <v>11420</v>
      </c>
      <c r="F643" s="23">
        <v>4</v>
      </c>
      <c r="G643" s="23" t="s">
        <v>1255</v>
      </c>
      <c r="H643" s="23" t="s">
        <v>58</v>
      </c>
      <c r="I643" s="23" t="s">
        <v>142</v>
      </c>
      <c r="J643" s="23" t="s">
        <v>413</v>
      </c>
      <c r="K643" s="25" t="str">
        <f>"00053366"</f>
        <v>00053366</v>
      </c>
    </row>
    <row r="644" spans="1:11" ht="47.25" customHeight="1" x14ac:dyDescent="0.25">
      <c r="A644" s="22">
        <v>109</v>
      </c>
      <c r="B644" s="23" t="s">
        <v>1256</v>
      </c>
      <c r="C644" s="23" t="s">
        <v>128</v>
      </c>
      <c r="D644" s="23"/>
      <c r="E644" s="24">
        <v>80000</v>
      </c>
      <c r="F644" s="23">
        <v>4</v>
      </c>
      <c r="G644" s="23" t="s">
        <v>1256</v>
      </c>
      <c r="H644" s="23" t="s">
        <v>1257</v>
      </c>
      <c r="I644" s="23" t="s">
        <v>142</v>
      </c>
      <c r="J644" s="23" t="s">
        <v>413</v>
      </c>
      <c r="K644" s="25" t="str">
        <f>"00053331"</f>
        <v>00053331</v>
      </c>
    </row>
    <row r="645" spans="1:11" ht="69.75" customHeight="1" x14ac:dyDescent="0.25">
      <c r="A645" s="22">
        <v>109</v>
      </c>
      <c r="B645" s="23" t="s">
        <v>1186</v>
      </c>
      <c r="C645" s="23" t="s">
        <v>128</v>
      </c>
      <c r="D645" s="23"/>
      <c r="E645" s="24">
        <v>80000</v>
      </c>
      <c r="F645" s="23">
        <v>4</v>
      </c>
      <c r="G645" s="23" t="s">
        <v>1258</v>
      </c>
      <c r="H645" s="23" t="s">
        <v>1259</v>
      </c>
      <c r="I645" s="23" t="s">
        <v>474</v>
      </c>
      <c r="J645" s="23" t="s">
        <v>622</v>
      </c>
      <c r="K645" s="25" t="str">
        <f>"00053396"</f>
        <v>00053396</v>
      </c>
    </row>
    <row r="646" spans="1:11" ht="50.25" customHeight="1" x14ac:dyDescent="0.25">
      <c r="A646" s="22">
        <v>109</v>
      </c>
      <c r="B646" s="23" t="s">
        <v>1202</v>
      </c>
      <c r="C646" s="23" t="s">
        <v>128</v>
      </c>
      <c r="D646" s="23"/>
      <c r="E646" s="24">
        <v>47934</v>
      </c>
      <c r="F646" s="23">
        <v>4</v>
      </c>
      <c r="G646" s="23" t="s">
        <v>1260</v>
      </c>
      <c r="H646" s="23" t="s">
        <v>1043</v>
      </c>
      <c r="I646" s="23" t="s">
        <v>197</v>
      </c>
      <c r="J646" s="23" t="s">
        <v>197</v>
      </c>
      <c r="K646" s="25" t="str">
        <f>"00053247"</f>
        <v>00053247</v>
      </c>
    </row>
    <row r="647" spans="1:11" ht="81" customHeight="1" x14ac:dyDescent="0.25">
      <c r="A647" s="22">
        <v>109</v>
      </c>
      <c r="B647" s="23" t="s">
        <v>1202</v>
      </c>
      <c r="C647" s="23" t="s">
        <v>128</v>
      </c>
      <c r="D647" s="23"/>
      <c r="E647" s="24">
        <v>47934</v>
      </c>
      <c r="F647" s="23">
        <v>4</v>
      </c>
      <c r="G647" s="23" t="s">
        <v>1261</v>
      </c>
      <c r="H647" s="23" t="s">
        <v>1043</v>
      </c>
      <c r="I647" s="23" t="s">
        <v>197</v>
      </c>
      <c r="J647" s="23" t="s">
        <v>197</v>
      </c>
      <c r="K647" s="25" t="str">
        <f>"00053259"</f>
        <v>00053259</v>
      </c>
    </row>
    <row r="648" spans="1:11" ht="81" customHeight="1" x14ac:dyDescent="0.25">
      <c r="A648" s="22">
        <v>109</v>
      </c>
      <c r="B648" s="23" t="s">
        <v>1202</v>
      </c>
      <c r="C648" s="23" t="s">
        <v>128</v>
      </c>
      <c r="D648" s="23"/>
      <c r="E648" s="24">
        <v>47934</v>
      </c>
      <c r="F648" s="23">
        <v>4</v>
      </c>
      <c r="G648" s="23" t="s">
        <v>1262</v>
      </c>
      <c r="H648" s="23" t="s">
        <v>1043</v>
      </c>
      <c r="I648" s="23" t="s">
        <v>197</v>
      </c>
      <c r="J648" s="23" t="s">
        <v>197</v>
      </c>
      <c r="K648" s="25" t="str">
        <f>"00053286"</f>
        <v>00053286</v>
      </c>
    </row>
    <row r="649" spans="1:11" ht="57.75" customHeight="1" x14ac:dyDescent="0.25">
      <c r="A649" s="22">
        <v>109</v>
      </c>
      <c r="B649" s="23" t="s">
        <v>1141</v>
      </c>
      <c r="C649" s="23" t="s">
        <v>128</v>
      </c>
      <c r="D649" s="23"/>
      <c r="E649" s="24">
        <v>22625</v>
      </c>
      <c r="F649" s="23">
        <v>4</v>
      </c>
      <c r="G649" s="23" t="s">
        <v>1263</v>
      </c>
      <c r="H649" s="23" t="s">
        <v>196</v>
      </c>
      <c r="I649" s="23" t="s">
        <v>197</v>
      </c>
      <c r="J649" s="23" t="s">
        <v>197</v>
      </c>
      <c r="K649" s="25" t="str">
        <f>"00053420"</f>
        <v>00053420</v>
      </c>
    </row>
    <row r="650" spans="1:11" ht="24.75" customHeight="1" x14ac:dyDescent="0.25">
      <c r="A650" s="74">
        <v>109</v>
      </c>
      <c r="B650" s="72" t="s">
        <v>1141</v>
      </c>
      <c r="C650" s="72" t="s">
        <v>128</v>
      </c>
      <c r="D650" s="72"/>
      <c r="E650" s="76">
        <v>34150</v>
      </c>
      <c r="F650" s="72">
        <v>4</v>
      </c>
      <c r="G650" s="72" t="s">
        <v>1264</v>
      </c>
      <c r="H650" s="72" t="s">
        <v>196</v>
      </c>
      <c r="I650" s="72" t="s">
        <v>197</v>
      </c>
      <c r="J650" s="72" t="s">
        <v>197</v>
      </c>
      <c r="K650" s="25" t="str">
        <f>"00053437"</f>
        <v>00053437</v>
      </c>
    </row>
    <row r="651" spans="1:11" ht="35.1" customHeight="1" x14ac:dyDescent="0.25">
      <c r="A651" s="75"/>
      <c r="B651" s="73"/>
      <c r="C651" s="73"/>
      <c r="D651" s="73"/>
      <c r="E651" s="77"/>
      <c r="F651" s="73"/>
      <c r="G651" s="73"/>
      <c r="H651" s="73"/>
      <c r="I651" s="73"/>
      <c r="J651" s="73"/>
      <c r="K651" s="28" t="s">
        <v>1265</v>
      </c>
    </row>
    <row r="652" spans="1:11" ht="57" customHeight="1" x14ac:dyDescent="0.25">
      <c r="A652" s="22">
        <v>109</v>
      </c>
      <c r="B652" s="23" t="s">
        <v>1141</v>
      </c>
      <c r="C652" s="23" t="s">
        <v>128</v>
      </c>
      <c r="D652" s="23"/>
      <c r="E652" s="24">
        <v>24325</v>
      </c>
      <c r="F652" s="23">
        <v>4</v>
      </c>
      <c r="G652" s="23" t="s">
        <v>1266</v>
      </c>
      <c r="H652" s="23" t="s">
        <v>196</v>
      </c>
      <c r="I652" s="23" t="s">
        <v>197</v>
      </c>
      <c r="J652" s="23" t="s">
        <v>197</v>
      </c>
      <c r="K652" s="25" t="str">
        <f>"00053422"</f>
        <v>00053422</v>
      </c>
    </row>
    <row r="653" spans="1:11" ht="21.75" customHeight="1" x14ac:dyDescent="0.25">
      <c r="A653" s="74">
        <v>109</v>
      </c>
      <c r="B653" s="72" t="s">
        <v>1141</v>
      </c>
      <c r="C653" s="72" t="s">
        <v>128</v>
      </c>
      <c r="D653" s="72"/>
      <c r="E653" s="76">
        <v>35096</v>
      </c>
      <c r="F653" s="72">
        <v>4</v>
      </c>
      <c r="G653" s="72" t="s">
        <v>1267</v>
      </c>
      <c r="H653" s="72" t="s">
        <v>196</v>
      </c>
      <c r="I653" s="72" t="s">
        <v>197</v>
      </c>
      <c r="J653" s="72" t="s">
        <v>197</v>
      </c>
      <c r="K653" s="25" t="str">
        <f>"00053459"</f>
        <v>00053459</v>
      </c>
    </row>
    <row r="654" spans="1:11" ht="35.1" customHeight="1" x14ac:dyDescent="0.25">
      <c r="A654" s="75"/>
      <c r="B654" s="73"/>
      <c r="C654" s="73"/>
      <c r="D654" s="73"/>
      <c r="E654" s="77"/>
      <c r="F654" s="73"/>
      <c r="G654" s="73"/>
      <c r="H654" s="73"/>
      <c r="I654" s="73"/>
      <c r="J654" s="73"/>
      <c r="K654" s="34" t="s">
        <v>1268</v>
      </c>
    </row>
    <row r="655" spans="1:11" ht="47.25" customHeight="1" x14ac:dyDescent="0.25">
      <c r="A655" s="22">
        <v>109</v>
      </c>
      <c r="B655" s="23" t="s">
        <v>1141</v>
      </c>
      <c r="C655" s="23" t="s">
        <v>128</v>
      </c>
      <c r="D655" s="23"/>
      <c r="E655" s="24">
        <v>23200</v>
      </c>
      <c r="F655" s="23">
        <v>4</v>
      </c>
      <c r="G655" s="23" t="s">
        <v>1269</v>
      </c>
      <c r="H655" s="23" t="s">
        <v>196</v>
      </c>
      <c r="I655" s="23" t="s">
        <v>197</v>
      </c>
      <c r="J655" s="23" t="s">
        <v>197</v>
      </c>
      <c r="K655" s="27" t="str">
        <f>"00053562"</f>
        <v>00053562</v>
      </c>
    </row>
    <row r="656" spans="1:11" ht="21.75" customHeight="1" x14ac:dyDescent="0.25">
      <c r="A656" s="74">
        <v>109</v>
      </c>
      <c r="B656" s="72" t="s">
        <v>1270</v>
      </c>
      <c r="C656" s="72" t="s">
        <v>128</v>
      </c>
      <c r="D656" s="72"/>
      <c r="E656" s="76">
        <v>13114</v>
      </c>
      <c r="F656" s="72">
        <v>4</v>
      </c>
      <c r="G656" s="72" t="s">
        <v>1271</v>
      </c>
      <c r="H656" s="72" t="s">
        <v>1272</v>
      </c>
      <c r="I656" s="72" t="s">
        <v>595</v>
      </c>
      <c r="J656" s="72" t="s">
        <v>1273</v>
      </c>
      <c r="K656" s="25" t="str">
        <f>"00054165"</f>
        <v>00054165</v>
      </c>
    </row>
    <row r="657" spans="1:11" ht="44.25" customHeight="1" x14ac:dyDescent="0.25">
      <c r="A657" s="75"/>
      <c r="B657" s="73"/>
      <c r="C657" s="73"/>
      <c r="D657" s="73"/>
      <c r="E657" s="77"/>
      <c r="F657" s="73"/>
      <c r="G657" s="73"/>
      <c r="H657" s="73"/>
      <c r="I657" s="73"/>
      <c r="J657" s="73"/>
      <c r="K657" s="28" t="s">
        <v>177</v>
      </c>
    </row>
    <row r="658" spans="1:11" ht="51" customHeight="1" x14ac:dyDescent="0.25">
      <c r="A658" s="22">
        <v>109</v>
      </c>
      <c r="B658" s="23" t="s">
        <v>1274</v>
      </c>
      <c r="C658" s="23" t="s">
        <v>128</v>
      </c>
      <c r="D658" s="23"/>
      <c r="E658" s="24">
        <v>12938</v>
      </c>
      <c r="F658" s="23">
        <v>4</v>
      </c>
      <c r="G658" s="23" t="s">
        <v>1275</v>
      </c>
      <c r="H658" s="23" t="s">
        <v>1276</v>
      </c>
      <c r="I658" s="23" t="s">
        <v>439</v>
      </c>
      <c r="J658" s="23" t="s">
        <v>1277</v>
      </c>
      <c r="K658" s="25" t="str">
        <f>"00054308"</f>
        <v>00054308</v>
      </c>
    </row>
    <row r="659" spans="1:11" ht="53.25" customHeight="1" x14ac:dyDescent="0.25">
      <c r="A659" s="22">
        <v>109</v>
      </c>
      <c r="B659" s="23" t="s">
        <v>1278</v>
      </c>
      <c r="C659" s="23" t="s">
        <v>128</v>
      </c>
      <c r="D659" s="23"/>
      <c r="E659" s="24">
        <v>15841</v>
      </c>
      <c r="F659" s="23">
        <v>4</v>
      </c>
      <c r="G659" s="23" t="s">
        <v>1279</v>
      </c>
      <c r="H659" s="23" t="s">
        <v>776</v>
      </c>
      <c r="I659" s="23" t="s">
        <v>142</v>
      </c>
      <c r="J659" s="23" t="s">
        <v>777</v>
      </c>
      <c r="K659" s="25" t="str">
        <f>"00053670"</f>
        <v>00053670</v>
      </c>
    </row>
    <row r="660" spans="1:11" ht="21" customHeight="1" x14ac:dyDescent="0.25">
      <c r="A660" s="74">
        <v>109</v>
      </c>
      <c r="B660" s="72" t="s">
        <v>1280</v>
      </c>
      <c r="C660" s="72" t="s">
        <v>128</v>
      </c>
      <c r="D660" s="72"/>
      <c r="E660" s="76">
        <v>8533</v>
      </c>
      <c r="F660" s="72">
        <v>4</v>
      </c>
      <c r="G660" s="72" t="s">
        <v>1281</v>
      </c>
      <c r="H660" s="72" t="s">
        <v>1282</v>
      </c>
      <c r="I660" s="72" t="s">
        <v>142</v>
      </c>
      <c r="J660" s="72" t="s">
        <v>1283</v>
      </c>
      <c r="K660" s="25" t="str">
        <f>"00054018"</f>
        <v>00054018</v>
      </c>
    </row>
    <row r="661" spans="1:11" ht="44.25" customHeight="1" x14ac:dyDescent="0.25">
      <c r="A661" s="75"/>
      <c r="B661" s="73"/>
      <c r="C661" s="73"/>
      <c r="D661" s="73"/>
      <c r="E661" s="77"/>
      <c r="F661" s="73"/>
      <c r="G661" s="73"/>
      <c r="H661" s="73"/>
      <c r="I661" s="73"/>
      <c r="J661" s="73"/>
      <c r="K661" s="28" t="s">
        <v>177</v>
      </c>
    </row>
    <row r="662" spans="1:11" ht="49.5" customHeight="1" x14ac:dyDescent="0.25">
      <c r="A662" s="22">
        <v>109</v>
      </c>
      <c r="B662" s="23" t="s">
        <v>1284</v>
      </c>
      <c r="C662" s="23" t="s">
        <v>128</v>
      </c>
      <c r="D662" s="23"/>
      <c r="E662" s="24">
        <v>3252</v>
      </c>
      <c r="F662" s="23">
        <v>4</v>
      </c>
      <c r="G662" s="23" t="s">
        <v>1284</v>
      </c>
      <c r="H662" s="23" t="s">
        <v>531</v>
      </c>
      <c r="I662" s="23" t="s">
        <v>532</v>
      </c>
      <c r="J662" s="23" t="s">
        <v>533</v>
      </c>
      <c r="K662" s="25" t="str">
        <f>"00054278"</f>
        <v>00054278</v>
      </c>
    </row>
    <row r="663" spans="1:11" ht="49.5" customHeight="1" x14ac:dyDescent="0.25">
      <c r="A663" s="22">
        <v>109</v>
      </c>
      <c r="B663" s="23" t="s">
        <v>1202</v>
      </c>
      <c r="C663" s="23" t="s">
        <v>128</v>
      </c>
      <c r="D663" s="23"/>
      <c r="E663" s="24">
        <v>39638</v>
      </c>
      <c r="F663" s="23">
        <v>4</v>
      </c>
      <c r="G663" s="23" t="s">
        <v>1285</v>
      </c>
      <c r="H663" s="23" t="s">
        <v>196</v>
      </c>
      <c r="I663" s="23" t="s">
        <v>197</v>
      </c>
      <c r="J663" s="23" t="s">
        <v>197</v>
      </c>
      <c r="K663" s="25" t="str">
        <f>"00053418"</f>
        <v>00053418</v>
      </c>
    </row>
    <row r="664" spans="1:11" ht="54.75" customHeight="1" x14ac:dyDescent="0.25">
      <c r="A664" s="22">
        <v>109</v>
      </c>
      <c r="B664" s="23" t="s">
        <v>1223</v>
      </c>
      <c r="C664" s="23" t="s">
        <v>128</v>
      </c>
      <c r="D664" s="23"/>
      <c r="E664" s="24">
        <v>1202</v>
      </c>
      <c r="F664" s="23">
        <v>4</v>
      </c>
      <c r="G664" s="23" t="s">
        <v>1223</v>
      </c>
      <c r="H664" s="23" t="s">
        <v>1224</v>
      </c>
      <c r="I664" s="23" t="s">
        <v>142</v>
      </c>
      <c r="J664" s="23" t="s">
        <v>498</v>
      </c>
      <c r="K664" s="25" t="str">
        <f>"00054352"</f>
        <v>00054352</v>
      </c>
    </row>
    <row r="665" spans="1:11" ht="89.25" customHeight="1" x14ac:dyDescent="0.25">
      <c r="A665" s="22">
        <v>109</v>
      </c>
      <c r="B665" s="23" t="s">
        <v>1286</v>
      </c>
      <c r="C665" s="23" t="s">
        <v>128</v>
      </c>
      <c r="D665" s="23"/>
      <c r="E665" s="24">
        <v>1522</v>
      </c>
      <c r="F665" s="23">
        <v>4</v>
      </c>
      <c r="G665" s="23" t="s">
        <v>1286</v>
      </c>
      <c r="H665" s="23" t="s">
        <v>1287</v>
      </c>
      <c r="I665" s="23" t="s">
        <v>142</v>
      </c>
      <c r="J665" s="23" t="s">
        <v>1288</v>
      </c>
      <c r="K665" s="25" t="str">
        <f>"00054280"</f>
        <v>00054280</v>
      </c>
    </row>
    <row r="666" spans="1:11" ht="14.25" customHeight="1" x14ac:dyDescent="0.25">
      <c r="A666" s="74">
        <v>109</v>
      </c>
      <c r="B666" s="72" t="s">
        <v>1141</v>
      </c>
      <c r="C666" s="72" t="s">
        <v>128</v>
      </c>
      <c r="D666" s="72"/>
      <c r="E666" s="76">
        <v>44725</v>
      </c>
      <c r="F666" s="72">
        <v>4</v>
      </c>
      <c r="G666" s="72" t="s">
        <v>1289</v>
      </c>
      <c r="H666" s="72" t="s">
        <v>1290</v>
      </c>
      <c r="I666" s="72" t="s">
        <v>1291</v>
      </c>
      <c r="J666" s="72" t="s">
        <v>1292</v>
      </c>
      <c r="K666" s="25" t="str">
        <f>"00053460"</f>
        <v>00053460</v>
      </c>
    </row>
    <row r="667" spans="1:11" ht="34.5" customHeight="1" x14ac:dyDescent="0.25">
      <c r="A667" s="79"/>
      <c r="B667" s="78"/>
      <c r="C667" s="78"/>
      <c r="D667" s="78"/>
      <c r="E667" s="80"/>
      <c r="F667" s="78"/>
      <c r="G667" s="78"/>
      <c r="H667" s="78"/>
      <c r="I667" s="78"/>
      <c r="J667" s="78"/>
      <c r="K667" s="27" t="s">
        <v>1293</v>
      </c>
    </row>
    <row r="668" spans="1:11" ht="34.5" customHeight="1" x14ac:dyDescent="0.25">
      <c r="A668" s="75"/>
      <c r="B668" s="73"/>
      <c r="C668" s="73"/>
      <c r="D668" s="73"/>
      <c r="E668" s="77"/>
      <c r="F668" s="73"/>
      <c r="G668" s="73"/>
      <c r="H668" s="73"/>
      <c r="I668" s="73"/>
      <c r="J668" s="73"/>
      <c r="K668" s="28" t="s">
        <v>1294</v>
      </c>
    </row>
    <row r="669" spans="1:11" ht="79.5" customHeight="1" x14ac:dyDescent="0.25">
      <c r="A669" s="22">
        <v>109</v>
      </c>
      <c r="B669" s="23" t="s">
        <v>1286</v>
      </c>
      <c r="C669" s="23" t="s">
        <v>128</v>
      </c>
      <c r="D669" s="23"/>
      <c r="E669" s="24">
        <v>1490</v>
      </c>
      <c r="F669" s="23">
        <v>4</v>
      </c>
      <c r="G669" s="23" t="s">
        <v>1286</v>
      </c>
      <c r="H669" s="23" t="s">
        <v>1287</v>
      </c>
      <c r="I669" s="23" t="s">
        <v>142</v>
      </c>
      <c r="J669" s="23" t="s">
        <v>1288</v>
      </c>
      <c r="K669" s="25" t="str">
        <f>"00054281"</f>
        <v>00054281</v>
      </c>
    </row>
    <row r="670" spans="1:11" ht="81.75" customHeight="1" x14ac:dyDescent="0.25">
      <c r="A670" s="22">
        <v>109</v>
      </c>
      <c r="B670" s="23" t="s">
        <v>1286</v>
      </c>
      <c r="C670" s="23" t="s">
        <v>128</v>
      </c>
      <c r="D670" s="23"/>
      <c r="E670" s="24">
        <v>1490</v>
      </c>
      <c r="F670" s="23">
        <v>4</v>
      </c>
      <c r="G670" s="23" t="s">
        <v>1286</v>
      </c>
      <c r="H670" s="23" t="s">
        <v>1287</v>
      </c>
      <c r="I670" s="23" t="s">
        <v>142</v>
      </c>
      <c r="J670" s="23" t="s">
        <v>1295</v>
      </c>
      <c r="K670" s="25" t="str">
        <f>"00054282"</f>
        <v>00054282</v>
      </c>
    </row>
    <row r="671" spans="1:11" ht="43.5" customHeight="1" x14ac:dyDescent="0.25">
      <c r="A671" s="74">
        <v>109</v>
      </c>
      <c r="B671" s="72" t="s">
        <v>1296</v>
      </c>
      <c r="C671" s="72" t="s">
        <v>128</v>
      </c>
      <c r="D671" s="72"/>
      <c r="E671" s="76">
        <v>2800</v>
      </c>
      <c r="F671" s="72">
        <v>4</v>
      </c>
      <c r="G671" s="72" t="s">
        <v>1296</v>
      </c>
      <c r="H671" s="72" t="s">
        <v>1297</v>
      </c>
      <c r="I671" s="72" t="s">
        <v>474</v>
      </c>
      <c r="J671" s="72" t="s">
        <v>1298</v>
      </c>
      <c r="K671" s="25" t="str">
        <f>"00054236"</f>
        <v>00054236</v>
      </c>
    </row>
    <row r="672" spans="1:11" ht="43.5" customHeight="1" x14ac:dyDescent="0.25">
      <c r="A672" s="75"/>
      <c r="B672" s="73"/>
      <c r="C672" s="73"/>
      <c r="D672" s="73"/>
      <c r="E672" s="77"/>
      <c r="F672" s="73"/>
      <c r="G672" s="73"/>
      <c r="H672" s="73"/>
      <c r="I672" s="73"/>
      <c r="J672" s="73"/>
      <c r="K672" s="28" t="s">
        <v>177</v>
      </c>
    </row>
    <row r="673" spans="1:11" ht="43.5" customHeight="1" x14ac:dyDescent="0.25">
      <c r="A673" s="74">
        <v>109</v>
      </c>
      <c r="B673" s="72" t="s">
        <v>1296</v>
      </c>
      <c r="C673" s="72" t="s">
        <v>128</v>
      </c>
      <c r="D673" s="72"/>
      <c r="E673" s="76">
        <v>2800</v>
      </c>
      <c r="F673" s="72">
        <v>4</v>
      </c>
      <c r="G673" s="72" t="s">
        <v>1296</v>
      </c>
      <c r="H673" s="72" t="s">
        <v>1297</v>
      </c>
      <c r="I673" s="72" t="s">
        <v>474</v>
      </c>
      <c r="J673" s="72" t="s">
        <v>1298</v>
      </c>
      <c r="K673" s="25" t="str">
        <f>"00054235"</f>
        <v>00054235</v>
      </c>
    </row>
    <row r="674" spans="1:11" ht="43.5" customHeight="1" x14ac:dyDescent="0.25">
      <c r="A674" s="75"/>
      <c r="B674" s="73"/>
      <c r="C674" s="73"/>
      <c r="D674" s="73"/>
      <c r="E674" s="77"/>
      <c r="F674" s="73"/>
      <c r="G674" s="73"/>
      <c r="H674" s="73"/>
      <c r="I674" s="73"/>
      <c r="J674" s="73"/>
      <c r="K674" s="28" t="s">
        <v>177</v>
      </c>
    </row>
    <row r="675" spans="1:11" ht="43.5" customHeight="1" x14ac:dyDescent="0.25">
      <c r="A675" s="74">
        <v>109</v>
      </c>
      <c r="B675" s="72" t="s">
        <v>1296</v>
      </c>
      <c r="C675" s="72" t="s">
        <v>128</v>
      </c>
      <c r="D675" s="72"/>
      <c r="E675" s="76">
        <v>2800</v>
      </c>
      <c r="F675" s="72">
        <v>4</v>
      </c>
      <c r="G675" s="72" t="s">
        <v>1296</v>
      </c>
      <c r="H675" s="72" t="s">
        <v>1297</v>
      </c>
      <c r="I675" s="72" t="s">
        <v>474</v>
      </c>
      <c r="J675" s="72" t="s">
        <v>1298</v>
      </c>
      <c r="K675" s="25" t="str">
        <f>"00054234"</f>
        <v>00054234</v>
      </c>
    </row>
    <row r="676" spans="1:11" ht="43.5" customHeight="1" x14ac:dyDescent="0.25">
      <c r="A676" s="75"/>
      <c r="B676" s="73"/>
      <c r="C676" s="73"/>
      <c r="D676" s="73"/>
      <c r="E676" s="77"/>
      <c r="F676" s="73"/>
      <c r="G676" s="73"/>
      <c r="H676" s="73"/>
      <c r="I676" s="73"/>
      <c r="J676" s="73"/>
      <c r="K676" s="28" t="s">
        <v>177</v>
      </c>
    </row>
    <row r="677" spans="1:11" ht="43.5" customHeight="1" x14ac:dyDescent="0.25">
      <c r="A677" s="74">
        <v>109</v>
      </c>
      <c r="B677" s="72" t="s">
        <v>1296</v>
      </c>
      <c r="C677" s="72" t="s">
        <v>128</v>
      </c>
      <c r="D677" s="72"/>
      <c r="E677" s="76">
        <v>2800</v>
      </c>
      <c r="F677" s="72">
        <v>4</v>
      </c>
      <c r="G677" s="72" t="s">
        <v>1296</v>
      </c>
      <c r="H677" s="72" t="s">
        <v>1297</v>
      </c>
      <c r="I677" s="72" t="s">
        <v>474</v>
      </c>
      <c r="J677" s="72" t="s">
        <v>1298</v>
      </c>
      <c r="K677" s="25" t="str">
        <f>"00054233"</f>
        <v>00054233</v>
      </c>
    </row>
    <row r="678" spans="1:11" ht="43.5" customHeight="1" x14ac:dyDescent="0.25">
      <c r="A678" s="75"/>
      <c r="B678" s="73"/>
      <c r="C678" s="73"/>
      <c r="D678" s="73"/>
      <c r="E678" s="77"/>
      <c r="F678" s="73"/>
      <c r="G678" s="73"/>
      <c r="H678" s="73"/>
      <c r="I678" s="73"/>
      <c r="J678" s="73"/>
      <c r="K678" s="28" t="s">
        <v>177</v>
      </c>
    </row>
    <row r="679" spans="1:11" x14ac:dyDescent="0.25">
      <c r="A679" s="69" t="s">
        <v>821</v>
      </c>
      <c r="B679" s="70"/>
      <c r="C679" s="15"/>
      <c r="D679" s="15"/>
      <c r="E679" s="15"/>
      <c r="F679" s="15"/>
      <c r="G679" s="15"/>
      <c r="H679" s="15"/>
      <c r="I679" s="15"/>
      <c r="J679" s="15"/>
      <c r="K679" s="16"/>
    </row>
    <row r="680" spans="1:11" s="17" customFormat="1" ht="36.75" customHeight="1" x14ac:dyDescent="0.25">
      <c r="A680" s="22">
        <v>109</v>
      </c>
      <c r="B680" s="23" t="s">
        <v>1299</v>
      </c>
      <c r="C680" s="23" t="s">
        <v>128</v>
      </c>
      <c r="D680" s="23"/>
      <c r="E680" s="24">
        <v>47429</v>
      </c>
      <c r="F680" s="23">
        <v>7</v>
      </c>
      <c r="G680" s="23" t="s">
        <v>1300</v>
      </c>
      <c r="H680" s="23" t="s">
        <v>1301</v>
      </c>
      <c r="I680" s="23" t="s">
        <v>142</v>
      </c>
      <c r="J680" s="23" t="s">
        <v>1302</v>
      </c>
      <c r="K680" s="25" t="str">
        <f>"00053912"</f>
        <v>00053912</v>
      </c>
    </row>
    <row r="681" spans="1:11" ht="92.25" customHeight="1" x14ac:dyDescent="0.25">
      <c r="A681" s="22">
        <v>109</v>
      </c>
      <c r="B681" s="23" t="s">
        <v>1303</v>
      </c>
      <c r="C681" s="23" t="s">
        <v>128</v>
      </c>
      <c r="D681" s="23"/>
      <c r="E681" s="24">
        <v>196334</v>
      </c>
      <c r="F681" s="23">
        <v>7</v>
      </c>
      <c r="G681" s="23" t="s">
        <v>1304</v>
      </c>
      <c r="H681" s="23" t="s">
        <v>1305</v>
      </c>
      <c r="I681" s="23" t="s">
        <v>1306</v>
      </c>
      <c r="J681" s="23" t="s">
        <v>1307</v>
      </c>
      <c r="K681" s="25" t="str">
        <f>"00052724"</f>
        <v>00052724</v>
      </c>
    </row>
    <row r="682" spans="1:11" ht="91.5" customHeight="1" x14ac:dyDescent="0.25">
      <c r="A682" s="22">
        <v>109</v>
      </c>
      <c r="B682" s="23" t="s">
        <v>1308</v>
      </c>
      <c r="C682" s="23" t="s">
        <v>128</v>
      </c>
      <c r="D682" s="23"/>
      <c r="E682" s="24">
        <v>67442</v>
      </c>
      <c r="F682" s="23">
        <v>7</v>
      </c>
      <c r="G682" s="23" t="s">
        <v>1308</v>
      </c>
      <c r="H682" s="23" t="s">
        <v>1309</v>
      </c>
      <c r="I682" s="23" t="s">
        <v>532</v>
      </c>
      <c r="J682" s="23" t="s">
        <v>1310</v>
      </c>
      <c r="K682" s="25" t="str">
        <f>"00053821"</f>
        <v>00053821</v>
      </c>
    </row>
    <row r="683" spans="1:11" ht="106.5" customHeight="1" x14ac:dyDescent="0.25">
      <c r="A683" s="22">
        <v>109</v>
      </c>
      <c r="B683" s="23" t="s">
        <v>1311</v>
      </c>
      <c r="C683" s="23" t="s">
        <v>128</v>
      </c>
      <c r="D683" s="23"/>
      <c r="E683" s="24">
        <v>44663</v>
      </c>
      <c r="F683" s="23">
        <v>7</v>
      </c>
      <c r="G683" s="23" t="s">
        <v>1312</v>
      </c>
      <c r="H683" s="23" t="s">
        <v>818</v>
      </c>
      <c r="I683" s="23" t="s">
        <v>166</v>
      </c>
      <c r="J683" s="23" t="s">
        <v>181</v>
      </c>
      <c r="K683" s="25" t="str">
        <f>"00053202"</f>
        <v>00053202</v>
      </c>
    </row>
    <row r="684" spans="1:11" ht="105.75" customHeight="1" x14ac:dyDescent="0.25">
      <c r="A684" s="22">
        <v>109</v>
      </c>
      <c r="B684" s="23" t="s">
        <v>943</v>
      </c>
      <c r="C684" s="23" t="s">
        <v>128</v>
      </c>
      <c r="D684" s="23"/>
      <c r="E684" s="24">
        <v>36930</v>
      </c>
      <c r="F684" s="23">
        <v>7</v>
      </c>
      <c r="G684" s="23" t="s">
        <v>943</v>
      </c>
      <c r="H684" s="23" t="s">
        <v>944</v>
      </c>
      <c r="I684" s="23" t="s">
        <v>166</v>
      </c>
      <c r="J684" s="23" t="s">
        <v>181</v>
      </c>
      <c r="K684" s="25" t="str">
        <f>"00053505"</f>
        <v>00053505</v>
      </c>
    </row>
    <row r="685" spans="1:11" ht="57" customHeight="1" x14ac:dyDescent="0.25">
      <c r="A685" s="22">
        <v>109</v>
      </c>
      <c r="B685" s="23" t="s">
        <v>1313</v>
      </c>
      <c r="C685" s="23" t="s">
        <v>128</v>
      </c>
      <c r="D685" s="23"/>
      <c r="E685" s="24">
        <v>162089</v>
      </c>
      <c r="F685" s="23">
        <v>7</v>
      </c>
      <c r="G685" s="23" t="s">
        <v>1314</v>
      </c>
      <c r="H685" s="23" t="s">
        <v>1315</v>
      </c>
      <c r="I685" s="23" t="s">
        <v>142</v>
      </c>
      <c r="J685" s="23" t="s">
        <v>845</v>
      </c>
      <c r="K685" s="25" t="str">
        <f>"00054250"</f>
        <v>00054250</v>
      </c>
    </row>
    <row r="686" spans="1:11" ht="57" customHeight="1" x14ac:dyDescent="0.25">
      <c r="A686" s="22">
        <v>109</v>
      </c>
      <c r="B686" s="23" t="s">
        <v>1313</v>
      </c>
      <c r="C686" s="23" t="s">
        <v>128</v>
      </c>
      <c r="D686" s="23"/>
      <c r="E686" s="24">
        <v>137554</v>
      </c>
      <c r="F686" s="23">
        <v>7</v>
      </c>
      <c r="G686" s="23" t="s">
        <v>1313</v>
      </c>
      <c r="H686" s="23" t="s">
        <v>1316</v>
      </c>
      <c r="I686" s="23" t="s">
        <v>142</v>
      </c>
      <c r="J686" s="23" t="s">
        <v>845</v>
      </c>
      <c r="K686" s="25" t="str">
        <f>"00053119"</f>
        <v>00053119</v>
      </c>
    </row>
    <row r="687" spans="1:11" ht="22.5" customHeight="1" x14ac:dyDescent="0.25">
      <c r="A687" s="69" t="s">
        <v>1317</v>
      </c>
      <c r="B687" s="71"/>
      <c r="C687" s="70"/>
      <c r="D687" s="20">
        <v>111685000</v>
      </c>
      <c r="E687" s="57">
        <f>SUM(E8:E686)</f>
        <v>24149602</v>
      </c>
      <c r="F687" s="58"/>
      <c r="G687" s="55"/>
      <c r="H687" s="55"/>
      <c r="I687" s="55"/>
      <c r="J687" s="55"/>
      <c r="K687" s="56"/>
    </row>
  </sheetData>
  <mergeCells count="1977">
    <mergeCell ref="A7:B7"/>
    <mergeCell ref="A16:A17"/>
    <mergeCell ref="B16:B17"/>
    <mergeCell ref="C16:C17"/>
    <mergeCell ref="D16:D17"/>
    <mergeCell ref="E16:E17"/>
    <mergeCell ref="F16:F17"/>
    <mergeCell ref="G16:G17"/>
    <mergeCell ref="H16:H17"/>
    <mergeCell ref="A1:K1"/>
    <mergeCell ref="A2:K2"/>
    <mergeCell ref="A3:K3"/>
    <mergeCell ref="A5:E5"/>
    <mergeCell ref="F5:F6"/>
    <mergeCell ref="G5:G6"/>
    <mergeCell ref="H5:H6"/>
    <mergeCell ref="I5:J5"/>
    <mergeCell ref="F37:F38"/>
    <mergeCell ref="G37:G38"/>
    <mergeCell ref="H37:H38"/>
    <mergeCell ref="I37:I38"/>
    <mergeCell ref="J37:J38"/>
    <mergeCell ref="A37:A38"/>
    <mergeCell ref="B37:B38"/>
    <mergeCell ref="C37:C38"/>
    <mergeCell ref="D37:D38"/>
    <mergeCell ref="E37:E38"/>
    <mergeCell ref="I16:I17"/>
    <mergeCell ref="J16:J17"/>
    <mergeCell ref="A42:A43"/>
    <mergeCell ref="B42:B43"/>
    <mergeCell ref="C42:C43"/>
    <mergeCell ref="D42:D43"/>
    <mergeCell ref="E42:E43"/>
    <mergeCell ref="I40:I41"/>
    <mergeCell ref="J40:J41"/>
    <mergeCell ref="A40:A41"/>
    <mergeCell ref="B40:B41"/>
    <mergeCell ref="C40:C41"/>
    <mergeCell ref="D40:D41"/>
    <mergeCell ref="E40:E41"/>
    <mergeCell ref="F40:F41"/>
    <mergeCell ref="G40:G41"/>
    <mergeCell ref="H40:H41"/>
    <mergeCell ref="A44:A45"/>
    <mergeCell ref="B44:B45"/>
    <mergeCell ref="C44:C45"/>
    <mergeCell ref="D44:D45"/>
    <mergeCell ref="E44:E45"/>
    <mergeCell ref="F44:F45"/>
    <mergeCell ref="G44:G45"/>
    <mergeCell ref="H44:H45"/>
    <mergeCell ref="F42:F43"/>
    <mergeCell ref="G42:G43"/>
    <mergeCell ref="H42:H43"/>
    <mergeCell ref="I42:I43"/>
    <mergeCell ref="J42:J43"/>
    <mergeCell ref="F46:F47"/>
    <mergeCell ref="G46:G47"/>
    <mergeCell ref="H46:H47"/>
    <mergeCell ref="I46:I47"/>
    <mergeCell ref="J46:J47"/>
    <mergeCell ref="A46:A47"/>
    <mergeCell ref="B46:B47"/>
    <mergeCell ref="C46:C47"/>
    <mergeCell ref="D46:D47"/>
    <mergeCell ref="E46:E47"/>
    <mergeCell ref="I44:I45"/>
    <mergeCell ref="J44:J45"/>
    <mergeCell ref="A51:A52"/>
    <mergeCell ref="B51:B52"/>
    <mergeCell ref="C51:C52"/>
    <mergeCell ref="D51:D52"/>
    <mergeCell ref="E51:E52"/>
    <mergeCell ref="I48:I49"/>
    <mergeCell ref="J48:J49"/>
    <mergeCell ref="A48:A49"/>
    <mergeCell ref="B48:B49"/>
    <mergeCell ref="C48:C49"/>
    <mergeCell ref="D48:D49"/>
    <mergeCell ref="E48:E49"/>
    <mergeCell ref="F48:F49"/>
    <mergeCell ref="G48:G49"/>
    <mergeCell ref="H48:H49"/>
    <mergeCell ref="A53:A54"/>
    <mergeCell ref="B53:B54"/>
    <mergeCell ref="C53:C54"/>
    <mergeCell ref="D53:D54"/>
    <mergeCell ref="E53:E54"/>
    <mergeCell ref="F53:F54"/>
    <mergeCell ref="G53:G54"/>
    <mergeCell ref="H53:H54"/>
    <mergeCell ref="F51:F52"/>
    <mergeCell ref="G51:G52"/>
    <mergeCell ref="H51:H52"/>
    <mergeCell ref="I51:I52"/>
    <mergeCell ref="J51:J52"/>
    <mergeCell ref="F55:F56"/>
    <mergeCell ref="G55:G56"/>
    <mergeCell ref="H55:H56"/>
    <mergeCell ref="I55:I56"/>
    <mergeCell ref="J55:J56"/>
    <mergeCell ref="A55:A56"/>
    <mergeCell ref="B55:B56"/>
    <mergeCell ref="C55:C56"/>
    <mergeCell ref="D55:D56"/>
    <mergeCell ref="E55:E56"/>
    <mergeCell ref="I53:I54"/>
    <mergeCell ref="J53:J54"/>
    <mergeCell ref="A59:A60"/>
    <mergeCell ref="B59:B60"/>
    <mergeCell ref="C59:C60"/>
    <mergeCell ref="D59:D60"/>
    <mergeCell ref="E59:E60"/>
    <mergeCell ref="I57:I58"/>
    <mergeCell ref="J57:J58"/>
    <mergeCell ref="A57:A58"/>
    <mergeCell ref="B57:B58"/>
    <mergeCell ref="C57:C58"/>
    <mergeCell ref="D57:D58"/>
    <mergeCell ref="E57:E58"/>
    <mergeCell ref="F57:F58"/>
    <mergeCell ref="G57:G58"/>
    <mergeCell ref="H57:H58"/>
    <mergeCell ref="A61:A62"/>
    <mergeCell ref="B61:B62"/>
    <mergeCell ref="C61:C62"/>
    <mergeCell ref="D61:D62"/>
    <mergeCell ref="E61:E62"/>
    <mergeCell ref="F61:F62"/>
    <mergeCell ref="G61:G62"/>
    <mergeCell ref="H61:H62"/>
    <mergeCell ref="F59:F60"/>
    <mergeCell ref="G59:G60"/>
    <mergeCell ref="H59:H60"/>
    <mergeCell ref="I59:I60"/>
    <mergeCell ref="J59:J60"/>
    <mergeCell ref="F63:F64"/>
    <mergeCell ref="G63:G64"/>
    <mergeCell ref="H63:H64"/>
    <mergeCell ref="I63:I64"/>
    <mergeCell ref="J63:J64"/>
    <mergeCell ref="A63:A64"/>
    <mergeCell ref="B63:B64"/>
    <mergeCell ref="C63:C64"/>
    <mergeCell ref="D63:D64"/>
    <mergeCell ref="E63:E64"/>
    <mergeCell ref="I61:I62"/>
    <mergeCell ref="J61:J62"/>
    <mergeCell ref="A67:A68"/>
    <mergeCell ref="B67:B68"/>
    <mergeCell ref="C67:C68"/>
    <mergeCell ref="D67:D68"/>
    <mergeCell ref="E67:E68"/>
    <mergeCell ref="I65:I66"/>
    <mergeCell ref="J65:J66"/>
    <mergeCell ref="A65:A66"/>
    <mergeCell ref="B65:B66"/>
    <mergeCell ref="C65:C66"/>
    <mergeCell ref="D65:D66"/>
    <mergeCell ref="E65:E66"/>
    <mergeCell ref="F65:F66"/>
    <mergeCell ref="G65:G66"/>
    <mergeCell ref="H65:H66"/>
    <mergeCell ref="A70:A71"/>
    <mergeCell ref="B70:B71"/>
    <mergeCell ref="C70:C71"/>
    <mergeCell ref="D70:D71"/>
    <mergeCell ref="E70:E71"/>
    <mergeCell ref="F70:F71"/>
    <mergeCell ref="G70:G71"/>
    <mergeCell ref="H70:H71"/>
    <mergeCell ref="F67:F68"/>
    <mergeCell ref="G67:G68"/>
    <mergeCell ref="H67:H68"/>
    <mergeCell ref="I67:I68"/>
    <mergeCell ref="J67:J68"/>
    <mergeCell ref="F72:F73"/>
    <mergeCell ref="G72:G73"/>
    <mergeCell ref="H72:H73"/>
    <mergeCell ref="I72:I73"/>
    <mergeCell ref="J72:J73"/>
    <mergeCell ref="A72:A73"/>
    <mergeCell ref="B72:B73"/>
    <mergeCell ref="C72:C73"/>
    <mergeCell ref="D72:D73"/>
    <mergeCell ref="E72:E73"/>
    <mergeCell ref="I70:I71"/>
    <mergeCell ref="J70:J71"/>
    <mergeCell ref="A76:A77"/>
    <mergeCell ref="B76:B77"/>
    <mergeCell ref="C76:C77"/>
    <mergeCell ref="D76:D77"/>
    <mergeCell ref="E76:E77"/>
    <mergeCell ref="I74:I75"/>
    <mergeCell ref="J74:J75"/>
    <mergeCell ref="A74:A75"/>
    <mergeCell ref="B74:B75"/>
    <mergeCell ref="C74:C75"/>
    <mergeCell ref="D74:D75"/>
    <mergeCell ref="E74:E75"/>
    <mergeCell ref="F74:F75"/>
    <mergeCell ref="G74:G75"/>
    <mergeCell ref="H74:H75"/>
    <mergeCell ref="A78:A79"/>
    <mergeCell ref="B78:B79"/>
    <mergeCell ref="C78:C79"/>
    <mergeCell ref="D78:D79"/>
    <mergeCell ref="E78:E79"/>
    <mergeCell ref="F78:F79"/>
    <mergeCell ref="G78:G79"/>
    <mergeCell ref="H78:H79"/>
    <mergeCell ref="F76:F77"/>
    <mergeCell ref="G76:G77"/>
    <mergeCell ref="H76:H77"/>
    <mergeCell ref="I76:I77"/>
    <mergeCell ref="J76:J77"/>
    <mergeCell ref="F80:F81"/>
    <mergeCell ref="G80:G81"/>
    <mergeCell ref="H80:H81"/>
    <mergeCell ref="I80:I81"/>
    <mergeCell ref="J80:J81"/>
    <mergeCell ref="A80:A81"/>
    <mergeCell ref="B80:B81"/>
    <mergeCell ref="C80:C81"/>
    <mergeCell ref="D80:D81"/>
    <mergeCell ref="E80:E81"/>
    <mergeCell ref="I78:I79"/>
    <mergeCell ref="J78:J79"/>
    <mergeCell ref="A84:A85"/>
    <mergeCell ref="B84:B85"/>
    <mergeCell ref="C84:C85"/>
    <mergeCell ref="D84:D85"/>
    <mergeCell ref="E84:E85"/>
    <mergeCell ref="I82:I83"/>
    <mergeCell ref="J82:J83"/>
    <mergeCell ref="A82:A83"/>
    <mergeCell ref="B82:B83"/>
    <mergeCell ref="C82:C83"/>
    <mergeCell ref="D82:D83"/>
    <mergeCell ref="E82:E83"/>
    <mergeCell ref="F82:F83"/>
    <mergeCell ref="G82:G83"/>
    <mergeCell ref="H82:H83"/>
    <mergeCell ref="A86:A87"/>
    <mergeCell ref="B86:B87"/>
    <mergeCell ref="C86:C87"/>
    <mergeCell ref="D86:D87"/>
    <mergeCell ref="E86:E87"/>
    <mergeCell ref="F86:F87"/>
    <mergeCell ref="G86:G87"/>
    <mergeCell ref="H86:H87"/>
    <mergeCell ref="F84:F85"/>
    <mergeCell ref="G84:G85"/>
    <mergeCell ref="H84:H85"/>
    <mergeCell ref="I84:I85"/>
    <mergeCell ref="J84:J85"/>
    <mergeCell ref="F88:F89"/>
    <mergeCell ref="G88:G89"/>
    <mergeCell ref="H88:H89"/>
    <mergeCell ref="I88:I89"/>
    <mergeCell ref="J88:J89"/>
    <mergeCell ref="A88:A89"/>
    <mergeCell ref="B88:B89"/>
    <mergeCell ref="C88:C89"/>
    <mergeCell ref="D88:D89"/>
    <mergeCell ref="E88:E89"/>
    <mergeCell ref="I86:I87"/>
    <mergeCell ref="J86:J87"/>
    <mergeCell ref="A92:A93"/>
    <mergeCell ref="B92:B93"/>
    <mergeCell ref="C92:C93"/>
    <mergeCell ref="D92:D93"/>
    <mergeCell ref="E92:E93"/>
    <mergeCell ref="I90:I91"/>
    <mergeCell ref="J90:J91"/>
    <mergeCell ref="A90:A91"/>
    <mergeCell ref="B90:B91"/>
    <mergeCell ref="C90:C91"/>
    <mergeCell ref="D90:D91"/>
    <mergeCell ref="E90:E91"/>
    <mergeCell ref="F90:F91"/>
    <mergeCell ref="G90:G91"/>
    <mergeCell ref="H90:H91"/>
    <mergeCell ref="A95:A96"/>
    <mergeCell ref="B95:B96"/>
    <mergeCell ref="C95:C96"/>
    <mergeCell ref="D95:D96"/>
    <mergeCell ref="E95:E96"/>
    <mergeCell ref="F95:F96"/>
    <mergeCell ref="G95:G96"/>
    <mergeCell ref="H95:H96"/>
    <mergeCell ref="F92:F93"/>
    <mergeCell ref="G92:G93"/>
    <mergeCell ref="H92:H93"/>
    <mergeCell ref="I92:I93"/>
    <mergeCell ref="J92:J93"/>
    <mergeCell ref="F97:F98"/>
    <mergeCell ref="G97:G98"/>
    <mergeCell ref="H97:H98"/>
    <mergeCell ref="I97:I98"/>
    <mergeCell ref="J97:J98"/>
    <mergeCell ref="A97:A98"/>
    <mergeCell ref="B97:B98"/>
    <mergeCell ref="C97:C98"/>
    <mergeCell ref="D97:D98"/>
    <mergeCell ref="E97:E98"/>
    <mergeCell ref="I95:I96"/>
    <mergeCell ref="J95:J96"/>
    <mergeCell ref="A110:A111"/>
    <mergeCell ref="B110:B111"/>
    <mergeCell ref="C110:C111"/>
    <mergeCell ref="D110:D111"/>
    <mergeCell ref="E110:E111"/>
    <mergeCell ref="I108:I109"/>
    <mergeCell ref="J108:J109"/>
    <mergeCell ref="A108:A109"/>
    <mergeCell ref="B108:B109"/>
    <mergeCell ref="C108:C109"/>
    <mergeCell ref="D108:D109"/>
    <mergeCell ref="E108:E109"/>
    <mergeCell ref="F108:F109"/>
    <mergeCell ref="G108:G109"/>
    <mergeCell ref="H108:H109"/>
    <mergeCell ref="A112:A113"/>
    <mergeCell ref="B112:B113"/>
    <mergeCell ref="C112:C113"/>
    <mergeCell ref="D112:D113"/>
    <mergeCell ref="E112:E113"/>
    <mergeCell ref="F112:F113"/>
    <mergeCell ref="G112:G113"/>
    <mergeCell ref="H112:H113"/>
    <mergeCell ref="F110:F111"/>
    <mergeCell ref="G110:G111"/>
    <mergeCell ref="H110:H111"/>
    <mergeCell ref="I110:I111"/>
    <mergeCell ref="J110:J111"/>
    <mergeCell ref="F114:F116"/>
    <mergeCell ref="G114:G116"/>
    <mergeCell ref="H114:H116"/>
    <mergeCell ref="I114:I116"/>
    <mergeCell ref="J114:J116"/>
    <mergeCell ref="A114:A116"/>
    <mergeCell ref="B114:B116"/>
    <mergeCell ref="C114:C116"/>
    <mergeCell ref="D114:D116"/>
    <mergeCell ref="E114:E116"/>
    <mergeCell ref="I112:I113"/>
    <mergeCell ref="J112:J113"/>
    <mergeCell ref="A120:A122"/>
    <mergeCell ref="B120:B122"/>
    <mergeCell ref="C120:C122"/>
    <mergeCell ref="D120:D122"/>
    <mergeCell ref="E120:E122"/>
    <mergeCell ref="I117:I119"/>
    <mergeCell ref="J117:J119"/>
    <mergeCell ref="A117:A119"/>
    <mergeCell ref="B117:B119"/>
    <mergeCell ref="C117:C119"/>
    <mergeCell ref="D117:D119"/>
    <mergeCell ref="E117:E119"/>
    <mergeCell ref="F117:F119"/>
    <mergeCell ref="G117:G119"/>
    <mergeCell ref="H117:H119"/>
    <mergeCell ref="A123:A125"/>
    <mergeCell ref="B123:B125"/>
    <mergeCell ref="C123:C125"/>
    <mergeCell ref="D123:D125"/>
    <mergeCell ref="E123:E125"/>
    <mergeCell ref="F123:F125"/>
    <mergeCell ref="G123:G125"/>
    <mergeCell ref="H123:H125"/>
    <mergeCell ref="F120:F122"/>
    <mergeCell ref="G120:G122"/>
    <mergeCell ref="H120:H122"/>
    <mergeCell ref="I120:I122"/>
    <mergeCell ref="J120:J122"/>
    <mergeCell ref="F126:F128"/>
    <mergeCell ref="G126:G128"/>
    <mergeCell ref="H126:H128"/>
    <mergeCell ref="I126:I128"/>
    <mergeCell ref="J126:J128"/>
    <mergeCell ref="A126:A128"/>
    <mergeCell ref="B126:B128"/>
    <mergeCell ref="C126:C128"/>
    <mergeCell ref="D126:D128"/>
    <mergeCell ref="E126:E128"/>
    <mergeCell ref="I123:I125"/>
    <mergeCell ref="J123:J125"/>
    <mergeCell ref="A151:A152"/>
    <mergeCell ref="B151:B152"/>
    <mergeCell ref="C151:C152"/>
    <mergeCell ref="D151:D152"/>
    <mergeCell ref="E151:E152"/>
    <mergeCell ref="I149:I150"/>
    <mergeCell ref="J149:J150"/>
    <mergeCell ref="A149:A150"/>
    <mergeCell ref="B149:B150"/>
    <mergeCell ref="C149:C150"/>
    <mergeCell ref="D149:D150"/>
    <mergeCell ref="E149:E150"/>
    <mergeCell ref="F149:F150"/>
    <mergeCell ref="G149:G150"/>
    <mergeCell ref="H149:H150"/>
    <mergeCell ref="A153:A154"/>
    <mergeCell ref="B153:B154"/>
    <mergeCell ref="C153:C154"/>
    <mergeCell ref="D153:D154"/>
    <mergeCell ref="E153:E154"/>
    <mergeCell ref="F153:F154"/>
    <mergeCell ref="G153:G154"/>
    <mergeCell ref="H153:H154"/>
    <mergeCell ref="F151:F152"/>
    <mergeCell ref="G151:G152"/>
    <mergeCell ref="H151:H152"/>
    <mergeCell ref="I151:I152"/>
    <mergeCell ref="J151:J152"/>
    <mergeCell ref="F155:F156"/>
    <mergeCell ref="G155:G156"/>
    <mergeCell ref="H155:H156"/>
    <mergeCell ref="I155:I156"/>
    <mergeCell ref="J155:J156"/>
    <mergeCell ref="A155:A156"/>
    <mergeCell ref="B155:B156"/>
    <mergeCell ref="C155:C156"/>
    <mergeCell ref="D155:D156"/>
    <mergeCell ref="E155:E156"/>
    <mergeCell ref="I153:I154"/>
    <mergeCell ref="J153:J154"/>
    <mergeCell ref="A160:A161"/>
    <mergeCell ref="B160:B161"/>
    <mergeCell ref="C160:C161"/>
    <mergeCell ref="D160:D161"/>
    <mergeCell ref="E160:E161"/>
    <mergeCell ref="I158:I159"/>
    <mergeCell ref="J158:J159"/>
    <mergeCell ref="A158:A159"/>
    <mergeCell ref="B158:B159"/>
    <mergeCell ref="C158:C159"/>
    <mergeCell ref="D158:D159"/>
    <mergeCell ref="E158:E159"/>
    <mergeCell ref="F158:F159"/>
    <mergeCell ref="G158:G159"/>
    <mergeCell ref="H158:H159"/>
    <mergeCell ref="A162:A163"/>
    <mergeCell ref="B162:B163"/>
    <mergeCell ref="C162:C163"/>
    <mergeCell ref="D162:D163"/>
    <mergeCell ref="E162:E163"/>
    <mergeCell ref="F162:F163"/>
    <mergeCell ref="G162:G163"/>
    <mergeCell ref="H162:H163"/>
    <mergeCell ref="F160:F161"/>
    <mergeCell ref="G160:G161"/>
    <mergeCell ref="H160:H161"/>
    <mergeCell ref="I160:I161"/>
    <mergeCell ref="J160:J161"/>
    <mergeCell ref="F164:F165"/>
    <mergeCell ref="G164:G165"/>
    <mergeCell ref="H164:H165"/>
    <mergeCell ref="I164:I165"/>
    <mergeCell ref="J164:J165"/>
    <mergeCell ref="A164:A165"/>
    <mergeCell ref="B164:B165"/>
    <mergeCell ref="C164:C165"/>
    <mergeCell ref="D164:D165"/>
    <mergeCell ref="E164:E165"/>
    <mergeCell ref="I162:I163"/>
    <mergeCell ref="J162:J163"/>
    <mergeCell ref="A169:A170"/>
    <mergeCell ref="B169:B170"/>
    <mergeCell ref="C169:C170"/>
    <mergeCell ref="D169:D170"/>
    <mergeCell ref="E169:E170"/>
    <mergeCell ref="I166:I167"/>
    <mergeCell ref="J166:J167"/>
    <mergeCell ref="A166:A167"/>
    <mergeCell ref="B166:B167"/>
    <mergeCell ref="C166:C167"/>
    <mergeCell ref="D166:D167"/>
    <mergeCell ref="E166:E167"/>
    <mergeCell ref="F166:F167"/>
    <mergeCell ref="G166:G167"/>
    <mergeCell ref="H166:H167"/>
    <mergeCell ref="A171:A172"/>
    <mergeCell ref="B171:B172"/>
    <mergeCell ref="C171:C172"/>
    <mergeCell ref="D171:D172"/>
    <mergeCell ref="E171:E172"/>
    <mergeCell ref="F171:F172"/>
    <mergeCell ref="G171:G172"/>
    <mergeCell ref="H171:H172"/>
    <mergeCell ref="F169:F170"/>
    <mergeCell ref="G169:G170"/>
    <mergeCell ref="H169:H170"/>
    <mergeCell ref="I169:I170"/>
    <mergeCell ref="J169:J170"/>
    <mergeCell ref="F175:F176"/>
    <mergeCell ref="G175:G176"/>
    <mergeCell ref="H175:H176"/>
    <mergeCell ref="I175:I176"/>
    <mergeCell ref="J175:J176"/>
    <mergeCell ref="A175:A176"/>
    <mergeCell ref="B175:B176"/>
    <mergeCell ref="C175:C176"/>
    <mergeCell ref="D175:D176"/>
    <mergeCell ref="E175:E176"/>
    <mergeCell ref="I171:I172"/>
    <mergeCell ref="J171:J172"/>
    <mergeCell ref="A180:A181"/>
    <mergeCell ref="B180:B181"/>
    <mergeCell ref="C180:C181"/>
    <mergeCell ref="D180:D181"/>
    <mergeCell ref="E180:E181"/>
    <mergeCell ref="I177:I178"/>
    <mergeCell ref="J177:J178"/>
    <mergeCell ref="A177:A178"/>
    <mergeCell ref="B177:B178"/>
    <mergeCell ref="C177:C178"/>
    <mergeCell ref="D177:D178"/>
    <mergeCell ref="E177:E178"/>
    <mergeCell ref="F177:F178"/>
    <mergeCell ref="G177:G178"/>
    <mergeCell ref="H177:H178"/>
    <mergeCell ref="A184:A185"/>
    <mergeCell ref="B184:B185"/>
    <mergeCell ref="C184:C185"/>
    <mergeCell ref="D184:D185"/>
    <mergeCell ref="E184:E185"/>
    <mergeCell ref="F184:F185"/>
    <mergeCell ref="G184:G185"/>
    <mergeCell ref="H184:H185"/>
    <mergeCell ref="F180:F181"/>
    <mergeCell ref="G180:G181"/>
    <mergeCell ref="H180:H181"/>
    <mergeCell ref="I180:I181"/>
    <mergeCell ref="J180:J181"/>
    <mergeCell ref="F187:F188"/>
    <mergeCell ref="G187:G188"/>
    <mergeCell ref="H187:H188"/>
    <mergeCell ref="I187:I188"/>
    <mergeCell ref="J187:J188"/>
    <mergeCell ref="A187:A188"/>
    <mergeCell ref="B187:B188"/>
    <mergeCell ref="C187:C188"/>
    <mergeCell ref="D187:D188"/>
    <mergeCell ref="E187:E188"/>
    <mergeCell ref="I184:I185"/>
    <mergeCell ref="J184:J185"/>
    <mergeCell ref="A192:A193"/>
    <mergeCell ref="B192:B193"/>
    <mergeCell ref="C192:C193"/>
    <mergeCell ref="D192:D193"/>
    <mergeCell ref="E192:E193"/>
    <mergeCell ref="I189:I190"/>
    <mergeCell ref="J189:J190"/>
    <mergeCell ref="A189:A190"/>
    <mergeCell ref="B189:B190"/>
    <mergeCell ref="C189:C190"/>
    <mergeCell ref="D189:D190"/>
    <mergeCell ref="E189:E190"/>
    <mergeCell ref="F189:F190"/>
    <mergeCell ref="G189:G190"/>
    <mergeCell ref="H189:H190"/>
    <mergeCell ref="A194:A195"/>
    <mergeCell ref="B194:B195"/>
    <mergeCell ref="C194:C195"/>
    <mergeCell ref="D194:D195"/>
    <mergeCell ref="E194:E195"/>
    <mergeCell ref="F194:F195"/>
    <mergeCell ref="G194:G195"/>
    <mergeCell ref="H194:H195"/>
    <mergeCell ref="F192:F193"/>
    <mergeCell ref="G192:G193"/>
    <mergeCell ref="H192:H193"/>
    <mergeCell ref="I192:I193"/>
    <mergeCell ref="J192:J193"/>
    <mergeCell ref="F198:F199"/>
    <mergeCell ref="G198:G199"/>
    <mergeCell ref="H198:H199"/>
    <mergeCell ref="I198:I199"/>
    <mergeCell ref="J198:J199"/>
    <mergeCell ref="A198:A199"/>
    <mergeCell ref="B198:B199"/>
    <mergeCell ref="C198:C199"/>
    <mergeCell ref="D198:D199"/>
    <mergeCell ref="E198:E199"/>
    <mergeCell ref="I194:I195"/>
    <mergeCell ref="J194:J195"/>
    <mergeCell ref="A202:A203"/>
    <mergeCell ref="B202:B203"/>
    <mergeCell ref="C202:C203"/>
    <mergeCell ref="D202:D203"/>
    <mergeCell ref="E202:E203"/>
    <mergeCell ref="I200:I201"/>
    <mergeCell ref="J200:J201"/>
    <mergeCell ref="A200:A201"/>
    <mergeCell ref="B200:B201"/>
    <mergeCell ref="C200:C201"/>
    <mergeCell ref="D200:D201"/>
    <mergeCell ref="E200:E201"/>
    <mergeCell ref="F200:F201"/>
    <mergeCell ref="G200:G201"/>
    <mergeCell ref="H200:H201"/>
    <mergeCell ref="A205:A206"/>
    <mergeCell ref="B205:B206"/>
    <mergeCell ref="C205:C206"/>
    <mergeCell ref="D205:D206"/>
    <mergeCell ref="E205:E206"/>
    <mergeCell ref="F205:F206"/>
    <mergeCell ref="G205:G206"/>
    <mergeCell ref="H205:H206"/>
    <mergeCell ref="F202:F203"/>
    <mergeCell ref="G202:G203"/>
    <mergeCell ref="H202:H203"/>
    <mergeCell ref="I202:I203"/>
    <mergeCell ref="J202:J203"/>
    <mergeCell ref="F207:F208"/>
    <mergeCell ref="G207:G208"/>
    <mergeCell ref="H207:H208"/>
    <mergeCell ref="I207:I208"/>
    <mergeCell ref="J207:J208"/>
    <mergeCell ref="A207:A208"/>
    <mergeCell ref="B207:B208"/>
    <mergeCell ref="C207:C208"/>
    <mergeCell ref="D207:D208"/>
    <mergeCell ref="E207:E208"/>
    <mergeCell ref="I205:I206"/>
    <mergeCell ref="J205:J206"/>
    <mergeCell ref="A211:A212"/>
    <mergeCell ref="B211:B212"/>
    <mergeCell ref="C211:C212"/>
    <mergeCell ref="D211:D212"/>
    <mergeCell ref="E211:E212"/>
    <mergeCell ref="I209:I210"/>
    <mergeCell ref="J209:J210"/>
    <mergeCell ref="A209:A210"/>
    <mergeCell ref="B209:B210"/>
    <mergeCell ref="C209:C210"/>
    <mergeCell ref="D209:D210"/>
    <mergeCell ref="E209:E210"/>
    <mergeCell ref="F209:F210"/>
    <mergeCell ref="G209:G210"/>
    <mergeCell ref="H209:H210"/>
    <mergeCell ref="A213:A214"/>
    <mergeCell ref="B213:B214"/>
    <mergeCell ref="C213:C214"/>
    <mergeCell ref="D213:D214"/>
    <mergeCell ref="E213:E214"/>
    <mergeCell ref="F213:F214"/>
    <mergeCell ref="G213:G214"/>
    <mergeCell ref="H213:H214"/>
    <mergeCell ref="F211:F212"/>
    <mergeCell ref="G211:G212"/>
    <mergeCell ref="H211:H212"/>
    <mergeCell ref="I211:I212"/>
    <mergeCell ref="J211:J212"/>
    <mergeCell ref="F225:F226"/>
    <mergeCell ref="G225:G226"/>
    <mergeCell ref="H225:H226"/>
    <mergeCell ref="I225:I226"/>
    <mergeCell ref="J225:J226"/>
    <mergeCell ref="A225:A226"/>
    <mergeCell ref="B225:B226"/>
    <mergeCell ref="C225:C226"/>
    <mergeCell ref="D225:D226"/>
    <mergeCell ref="E225:E226"/>
    <mergeCell ref="I213:I214"/>
    <mergeCell ref="J213:J214"/>
    <mergeCell ref="A232:A233"/>
    <mergeCell ref="B232:B233"/>
    <mergeCell ref="C232:C233"/>
    <mergeCell ref="D232:D233"/>
    <mergeCell ref="E232:E233"/>
    <mergeCell ref="I228:I229"/>
    <mergeCell ref="J228:J229"/>
    <mergeCell ref="A228:A229"/>
    <mergeCell ref="B228:B229"/>
    <mergeCell ref="C228:C229"/>
    <mergeCell ref="D228:D229"/>
    <mergeCell ref="E228:E229"/>
    <mergeCell ref="F228:F229"/>
    <mergeCell ref="G228:G229"/>
    <mergeCell ref="H228:H229"/>
    <mergeCell ref="A234:A235"/>
    <mergeCell ref="B234:B235"/>
    <mergeCell ref="C234:C235"/>
    <mergeCell ref="D234:D235"/>
    <mergeCell ref="E234:E235"/>
    <mergeCell ref="F234:F235"/>
    <mergeCell ref="G234:G235"/>
    <mergeCell ref="H234:H235"/>
    <mergeCell ref="F232:F233"/>
    <mergeCell ref="G232:G233"/>
    <mergeCell ref="H232:H233"/>
    <mergeCell ref="I232:I233"/>
    <mergeCell ref="J232:J233"/>
    <mergeCell ref="F240:F241"/>
    <mergeCell ref="G240:G241"/>
    <mergeCell ref="H240:H241"/>
    <mergeCell ref="I240:I241"/>
    <mergeCell ref="J240:J241"/>
    <mergeCell ref="A240:A241"/>
    <mergeCell ref="B240:B241"/>
    <mergeCell ref="C240:C241"/>
    <mergeCell ref="D240:D241"/>
    <mergeCell ref="E240:E241"/>
    <mergeCell ref="I234:I235"/>
    <mergeCell ref="J234:J235"/>
    <mergeCell ref="A248:A249"/>
    <mergeCell ref="B248:B249"/>
    <mergeCell ref="C248:C249"/>
    <mergeCell ref="D248:D249"/>
    <mergeCell ref="E248:E249"/>
    <mergeCell ref="I246:I247"/>
    <mergeCell ref="J246:J247"/>
    <mergeCell ref="A246:A247"/>
    <mergeCell ref="B246:B247"/>
    <mergeCell ref="C246:C247"/>
    <mergeCell ref="D246:D247"/>
    <mergeCell ref="E246:E247"/>
    <mergeCell ref="F246:F247"/>
    <mergeCell ref="G246:G247"/>
    <mergeCell ref="H246:H247"/>
    <mergeCell ref="A250:A251"/>
    <mergeCell ref="B250:B251"/>
    <mergeCell ref="C250:C251"/>
    <mergeCell ref="D250:D251"/>
    <mergeCell ref="E250:E251"/>
    <mergeCell ref="F250:F251"/>
    <mergeCell ref="G250:G251"/>
    <mergeCell ref="H250:H251"/>
    <mergeCell ref="F248:F249"/>
    <mergeCell ref="G248:G249"/>
    <mergeCell ref="H248:H249"/>
    <mergeCell ref="I248:I249"/>
    <mergeCell ref="J248:J249"/>
    <mergeCell ref="F255:F256"/>
    <mergeCell ref="G255:G256"/>
    <mergeCell ref="H255:H256"/>
    <mergeCell ref="I255:I256"/>
    <mergeCell ref="J255:J256"/>
    <mergeCell ref="A255:A256"/>
    <mergeCell ref="B255:B256"/>
    <mergeCell ref="C255:C256"/>
    <mergeCell ref="D255:D256"/>
    <mergeCell ref="E255:E256"/>
    <mergeCell ref="I250:I251"/>
    <mergeCell ref="J250:J251"/>
    <mergeCell ref="A259:A260"/>
    <mergeCell ref="B259:B260"/>
    <mergeCell ref="C259:C260"/>
    <mergeCell ref="D259:D260"/>
    <mergeCell ref="E259:E260"/>
    <mergeCell ref="I257:I258"/>
    <mergeCell ref="J257:J258"/>
    <mergeCell ref="A257:A258"/>
    <mergeCell ref="B257:B258"/>
    <mergeCell ref="C257:C258"/>
    <mergeCell ref="D257:D258"/>
    <mergeCell ref="E257:E258"/>
    <mergeCell ref="F257:F258"/>
    <mergeCell ref="G257:G258"/>
    <mergeCell ref="H257:H258"/>
    <mergeCell ref="A268:A269"/>
    <mergeCell ref="B268:B269"/>
    <mergeCell ref="C268:C269"/>
    <mergeCell ref="D268:D269"/>
    <mergeCell ref="E268:E269"/>
    <mergeCell ref="F268:F269"/>
    <mergeCell ref="G268:G269"/>
    <mergeCell ref="H268:H269"/>
    <mergeCell ref="F259:F260"/>
    <mergeCell ref="G259:G260"/>
    <mergeCell ref="H259:H260"/>
    <mergeCell ref="I259:I260"/>
    <mergeCell ref="J259:J260"/>
    <mergeCell ref="F271:F272"/>
    <mergeCell ref="G271:G272"/>
    <mergeCell ref="H271:H272"/>
    <mergeCell ref="I271:I272"/>
    <mergeCell ref="J271:J272"/>
    <mergeCell ref="A271:A272"/>
    <mergeCell ref="B271:B272"/>
    <mergeCell ref="C271:C272"/>
    <mergeCell ref="D271:D272"/>
    <mergeCell ref="E271:E272"/>
    <mergeCell ref="I268:I269"/>
    <mergeCell ref="J268:J269"/>
    <mergeCell ref="A275:A277"/>
    <mergeCell ref="B275:B277"/>
    <mergeCell ref="C275:C277"/>
    <mergeCell ref="D275:D277"/>
    <mergeCell ref="E275:E277"/>
    <mergeCell ref="I273:I274"/>
    <mergeCell ref="J273:J274"/>
    <mergeCell ref="A273:A274"/>
    <mergeCell ref="B273:B274"/>
    <mergeCell ref="C273:C274"/>
    <mergeCell ref="D273:D274"/>
    <mergeCell ref="E273:E274"/>
    <mergeCell ref="F273:F274"/>
    <mergeCell ref="G273:G274"/>
    <mergeCell ref="H273:H274"/>
    <mergeCell ref="A278:A279"/>
    <mergeCell ref="B278:B279"/>
    <mergeCell ref="C278:C279"/>
    <mergeCell ref="D278:D279"/>
    <mergeCell ref="E278:E279"/>
    <mergeCell ref="F278:F279"/>
    <mergeCell ref="G278:G279"/>
    <mergeCell ref="H278:H279"/>
    <mergeCell ref="F275:F277"/>
    <mergeCell ref="G275:G277"/>
    <mergeCell ref="H275:H277"/>
    <mergeCell ref="I275:I277"/>
    <mergeCell ref="J275:J277"/>
    <mergeCell ref="F281:F282"/>
    <mergeCell ref="G281:G282"/>
    <mergeCell ref="H281:H282"/>
    <mergeCell ref="I281:I282"/>
    <mergeCell ref="J281:J282"/>
    <mergeCell ref="A281:A282"/>
    <mergeCell ref="B281:B282"/>
    <mergeCell ref="C281:C282"/>
    <mergeCell ref="D281:D282"/>
    <mergeCell ref="E281:E282"/>
    <mergeCell ref="I278:I279"/>
    <mergeCell ref="J278:J279"/>
    <mergeCell ref="A285:A286"/>
    <mergeCell ref="B285:B286"/>
    <mergeCell ref="C285:C286"/>
    <mergeCell ref="D285:D286"/>
    <mergeCell ref="E285:E286"/>
    <mergeCell ref="I283:I284"/>
    <mergeCell ref="J283:J284"/>
    <mergeCell ref="A283:A284"/>
    <mergeCell ref="B283:B284"/>
    <mergeCell ref="C283:C284"/>
    <mergeCell ref="D283:D284"/>
    <mergeCell ref="E283:E284"/>
    <mergeCell ref="F283:F284"/>
    <mergeCell ref="G283:G284"/>
    <mergeCell ref="H283:H284"/>
    <mergeCell ref="A287:A288"/>
    <mergeCell ref="B287:B288"/>
    <mergeCell ref="C287:C288"/>
    <mergeCell ref="D287:D288"/>
    <mergeCell ref="E287:E288"/>
    <mergeCell ref="F287:F288"/>
    <mergeCell ref="G287:G288"/>
    <mergeCell ref="H287:H288"/>
    <mergeCell ref="F285:F286"/>
    <mergeCell ref="G285:G286"/>
    <mergeCell ref="H285:H286"/>
    <mergeCell ref="I285:I286"/>
    <mergeCell ref="J285:J286"/>
    <mergeCell ref="F289:F290"/>
    <mergeCell ref="G289:G290"/>
    <mergeCell ref="H289:H290"/>
    <mergeCell ref="I289:I290"/>
    <mergeCell ref="J289:J290"/>
    <mergeCell ref="A289:A290"/>
    <mergeCell ref="B289:B290"/>
    <mergeCell ref="C289:C290"/>
    <mergeCell ref="D289:D290"/>
    <mergeCell ref="E289:E290"/>
    <mergeCell ref="I287:I288"/>
    <mergeCell ref="J287:J288"/>
    <mergeCell ref="A293:A294"/>
    <mergeCell ref="B293:B294"/>
    <mergeCell ref="C293:C294"/>
    <mergeCell ref="D293:D294"/>
    <mergeCell ref="E293:E294"/>
    <mergeCell ref="I291:I292"/>
    <mergeCell ref="J291:J292"/>
    <mergeCell ref="A291:A292"/>
    <mergeCell ref="B291:B292"/>
    <mergeCell ref="C291:C292"/>
    <mergeCell ref="D291:D292"/>
    <mergeCell ref="E291:E292"/>
    <mergeCell ref="F291:F292"/>
    <mergeCell ref="G291:G292"/>
    <mergeCell ref="H291:H292"/>
    <mergeCell ref="A295:A296"/>
    <mergeCell ref="B295:B296"/>
    <mergeCell ref="C295:C296"/>
    <mergeCell ref="D295:D296"/>
    <mergeCell ref="E295:E296"/>
    <mergeCell ref="F295:F296"/>
    <mergeCell ref="G295:G296"/>
    <mergeCell ref="H295:H296"/>
    <mergeCell ref="F293:F294"/>
    <mergeCell ref="G293:G294"/>
    <mergeCell ref="H293:H294"/>
    <mergeCell ref="I293:I294"/>
    <mergeCell ref="J293:J294"/>
    <mergeCell ref="F298:F299"/>
    <mergeCell ref="G298:G299"/>
    <mergeCell ref="H298:H299"/>
    <mergeCell ref="I298:I299"/>
    <mergeCell ref="J298:J299"/>
    <mergeCell ref="A298:A299"/>
    <mergeCell ref="B298:B299"/>
    <mergeCell ref="C298:C299"/>
    <mergeCell ref="D298:D299"/>
    <mergeCell ref="E298:E299"/>
    <mergeCell ref="I295:I296"/>
    <mergeCell ref="J295:J296"/>
    <mergeCell ref="A302:A303"/>
    <mergeCell ref="B302:B303"/>
    <mergeCell ref="C302:C303"/>
    <mergeCell ref="D302:D303"/>
    <mergeCell ref="E302:E303"/>
    <mergeCell ref="I300:I301"/>
    <mergeCell ref="J300:J301"/>
    <mergeCell ref="A300:A301"/>
    <mergeCell ref="B300:B301"/>
    <mergeCell ref="C300:C301"/>
    <mergeCell ref="D300:D301"/>
    <mergeCell ref="E300:E301"/>
    <mergeCell ref="F300:F301"/>
    <mergeCell ref="G300:G301"/>
    <mergeCell ref="H300:H301"/>
    <mergeCell ref="A304:A305"/>
    <mergeCell ref="B304:B305"/>
    <mergeCell ref="C304:C305"/>
    <mergeCell ref="D304:D305"/>
    <mergeCell ref="E304:E305"/>
    <mergeCell ref="F304:F305"/>
    <mergeCell ref="G304:G305"/>
    <mergeCell ref="H304:H305"/>
    <mergeCell ref="F302:F303"/>
    <mergeCell ref="G302:G303"/>
    <mergeCell ref="H302:H303"/>
    <mergeCell ref="I302:I303"/>
    <mergeCell ref="J302:J303"/>
    <mergeCell ref="F306:F307"/>
    <mergeCell ref="G306:G307"/>
    <mergeCell ref="H306:H307"/>
    <mergeCell ref="I306:I307"/>
    <mergeCell ref="J306:J307"/>
    <mergeCell ref="A306:A307"/>
    <mergeCell ref="B306:B307"/>
    <mergeCell ref="C306:C307"/>
    <mergeCell ref="D306:D307"/>
    <mergeCell ref="E306:E307"/>
    <mergeCell ref="I304:I305"/>
    <mergeCell ref="J304:J305"/>
    <mergeCell ref="A310:A311"/>
    <mergeCell ref="B310:B311"/>
    <mergeCell ref="C310:C311"/>
    <mergeCell ref="D310:D311"/>
    <mergeCell ref="E310:E311"/>
    <mergeCell ref="I308:I309"/>
    <mergeCell ref="J308:J309"/>
    <mergeCell ref="A308:A309"/>
    <mergeCell ref="B308:B309"/>
    <mergeCell ref="C308:C309"/>
    <mergeCell ref="D308:D309"/>
    <mergeCell ref="E308:E309"/>
    <mergeCell ref="F308:F309"/>
    <mergeCell ref="G308:G309"/>
    <mergeCell ref="H308:H309"/>
    <mergeCell ref="A312:A313"/>
    <mergeCell ref="B312:B313"/>
    <mergeCell ref="C312:C313"/>
    <mergeCell ref="D312:D313"/>
    <mergeCell ref="E312:E313"/>
    <mergeCell ref="F312:F313"/>
    <mergeCell ref="G312:G313"/>
    <mergeCell ref="H312:H313"/>
    <mergeCell ref="F310:F311"/>
    <mergeCell ref="G310:G311"/>
    <mergeCell ref="H310:H311"/>
    <mergeCell ref="I310:I311"/>
    <mergeCell ref="J310:J311"/>
    <mergeCell ref="F314:F315"/>
    <mergeCell ref="G314:G315"/>
    <mergeCell ref="H314:H315"/>
    <mergeCell ref="I314:I315"/>
    <mergeCell ref="J314:J315"/>
    <mergeCell ref="A314:A315"/>
    <mergeCell ref="B314:B315"/>
    <mergeCell ref="C314:C315"/>
    <mergeCell ref="D314:D315"/>
    <mergeCell ref="E314:E315"/>
    <mergeCell ref="I312:I313"/>
    <mergeCell ref="J312:J313"/>
    <mergeCell ref="A318:A319"/>
    <mergeCell ref="B318:B319"/>
    <mergeCell ref="C318:C319"/>
    <mergeCell ref="D318:D319"/>
    <mergeCell ref="E318:E319"/>
    <mergeCell ref="I316:I317"/>
    <mergeCell ref="J316:J317"/>
    <mergeCell ref="A316:A317"/>
    <mergeCell ref="B316:B317"/>
    <mergeCell ref="C316:C317"/>
    <mergeCell ref="D316:D317"/>
    <mergeCell ref="E316:E317"/>
    <mergeCell ref="F316:F317"/>
    <mergeCell ref="G316:G317"/>
    <mergeCell ref="H316:H317"/>
    <mergeCell ref="A320:A321"/>
    <mergeCell ref="B320:B321"/>
    <mergeCell ref="C320:C321"/>
    <mergeCell ref="D320:D321"/>
    <mergeCell ref="E320:E321"/>
    <mergeCell ref="F320:F321"/>
    <mergeCell ref="G320:G321"/>
    <mergeCell ref="H320:H321"/>
    <mergeCell ref="F318:F319"/>
    <mergeCell ref="G318:G319"/>
    <mergeCell ref="H318:H319"/>
    <mergeCell ref="I318:I319"/>
    <mergeCell ref="J318:J319"/>
    <mergeCell ref="F322:F323"/>
    <mergeCell ref="G322:G323"/>
    <mergeCell ref="H322:H323"/>
    <mergeCell ref="I322:I323"/>
    <mergeCell ref="J322:J323"/>
    <mergeCell ref="A322:A323"/>
    <mergeCell ref="B322:B323"/>
    <mergeCell ref="C322:C323"/>
    <mergeCell ref="D322:D323"/>
    <mergeCell ref="E322:E323"/>
    <mergeCell ref="I320:I321"/>
    <mergeCell ref="J320:J321"/>
    <mergeCell ref="A326:A327"/>
    <mergeCell ref="B326:B327"/>
    <mergeCell ref="C326:C327"/>
    <mergeCell ref="D326:D327"/>
    <mergeCell ref="E326:E327"/>
    <mergeCell ref="I324:I325"/>
    <mergeCell ref="J324:J325"/>
    <mergeCell ref="A324:A325"/>
    <mergeCell ref="B324:B325"/>
    <mergeCell ref="C324:C325"/>
    <mergeCell ref="D324:D325"/>
    <mergeCell ref="E324:E325"/>
    <mergeCell ref="F324:F325"/>
    <mergeCell ref="G324:G325"/>
    <mergeCell ref="H324:H325"/>
    <mergeCell ref="A328:A329"/>
    <mergeCell ref="B328:B329"/>
    <mergeCell ref="C328:C329"/>
    <mergeCell ref="D328:D329"/>
    <mergeCell ref="E328:E329"/>
    <mergeCell ref="F328:F329"/>
    <mergeCell ref="G328:G329"/>
    <mergeCell ref="H328:H329"/>
    <mergeCell ref="F326:F327"/>
    <mergeCell ref="G326:G327"/>
    <mergeCell ref="H326:H327"/>
    <mergeCell ref="I326:I327"/>
    <mergeCell ref="J326:J327"/>
    <mergeCell ref="F330:F331"/>
    <mergeCell ref="G330:G331"/>
    <mergeCell ref="H330:H331"/>
    <mergeCell ref="I330:I331"/>
    <mergeCell ref="J330:J331"/>
    <mergeCell ref="A330:A331"/>
    <mergeCell ref="B330:B331"/>
    <mergeCell ref="C330:C331"/>
    <mergeCell ref="D330:D331"/>
    <mergeCell ref="E330:E331"/>
    <mergeCell ref="I328:I329"/>
    <mergeCell ref="J328:J329"/>
    <mergeCell ref="A334:A335"/>
    <mergeCell ref="B334:B335"/>
    <mergeCell ref="C334:C335"/>
    <mergeCell ref="D334:D335"/>
    <mergeCell ref="E334:E335"/>
    <mergeCell ref="I332:I333"/>
    <mergeCell ref="J332:J333"/>
    <mergeCell ref="A332:A333"/>
    <mergeCell ref="B332:B333"/>
    <mergeCell ref="C332:C333"/>
    <mergeCell ref="D332:D333"/>
    <mergeCell ref="E332:E333"/>
    <mergeCell ref="F332:F333"/>
    <mergeCell ref="G332:G333"/>
    <mergeCell ref="H332:H333"/>
    <mergeCell ref="A336:A337"/>
    <mergeCell ref="B336:B337"/>
    <mergeCell ref="C336:C337"/>
    <mergeCell ref="D336:D337"/>
    <mergeCell ref="E336:E337"/>
    <mergeCell ref="F336:F337"/>
    <mergeCell ref="G336:G337"/>
    <mergeCell ref="H336:H337"/>
    <mergeCell ref="F334:F335"/>
    <mergeCell ref="G334:G335"/>
    <mergeCell ref="H334:H335"/>
    <mergeCell ref="I334:I335"/>
    <mergeCell ref="J334:J335"/>
    <mergeCell ref="F338:F339"/>
    <mergeCell ref="G338:G339"/>
    <mergeCell ref="H338:H339"/>
    <mergeCell ref="I338:I339"/>
    <mergeCell ref="J338:J339"/>
    <mergeCell ref="A338:A339"/>
    <mergeCell ref="B338:B339"/>
    <mergeCell ref="C338:C339"/>
    <mergeCell ref="D338:D339"/>
    <mergeCell ref="E338:E339"/>
    <mergeCell ref="I336:I337"/>
    <mergeCell ref="J336:J337"/>
    <mergeCell ref="A342:A343"/>
    <mergeCell ref="B342:B343"/>
    <mergeCell ref="C342:C343"/>
    <mergeCell ref="D342:D343"/>
    <mergeCell ref="E342:E343"/>
    <mergeCell ref="I340:I341"/>
    <mergeCell ref="J340:J341"/>
    <mergeCell ref="A340:A341"/>
    <mergeCell ref="B340:B341"/>
    <mergeCell ref="C340:C341"/>
    <mergeCell ref="D340:D341"/>
    <mergeCell ref="E340:E341"/>
    <mergeCell ref="F340:F341"/>
    <mergeCell ref="G340:G341"/>
    <mergeCell ref="H340:H341"/>
    <mergeCell ref="A358:A359"/>
    <mergeCell ref="B358:B359"/>
    <mergeCell ref="C358:C359"/>
    <mergeCell ref="D358:D359"/>
    <mergeCell ref="E358:E359"/>
    <mergeCell ref="F358:F359"/>
    <mergeCell ref="G358:G359"/>
    <mergeCell ref="H358:H359"/>
    <mergeCell ref="F342:F343"/>
    <mergeCell ref="G342:G343"/>
    <mergeCell ref="H342:H343"/>
    <mergeCell ref="I342:I343"/>
    <mergeCell ref="J342:J343"/>
    <mergeCell ref="A383:B383"/>
    <mergeCell ref="A389:B389"/>
    <mergeCell ref="A393:A394"/>
    <mergeCell ref="B393:B394"/>
    <mergeCell ref="C393:C394"/>
    <mergeCell ref="D393:D394"/>
    <mergeCell ref="A360:B360"/>
    <mergeCell ref="I358:I359"/>
    <mergeCell ref="J358:J359"/>
    <mergeCell ref="H404:H405"/>
    <mergeCell ref="I404:I405"/>
    <mergeCell ref="J404:J405"/>
    <mergeCell ref="A404:A405"/>
    <mergeCell ref="B404:B405"/>
    <mergeCell ref="C404:C405"/>
    <mergeCell ref="D404:D405"/>
    <mergeCell ref="E404:E405"/>
    <mergeCell ref="F404:F405"/>
    <mergeCell ref="G404:G405"/>
    <mergeCell ref="E393:E394"/>
    <mergeCell ref="F393:F394"/>
    <mergeCell ref="G393:G394"/>
    <mergeCell ref="H393:H394"/>
    <mergeCell ref="I393:I394"/>
    <mergeCell ref="J393:J394"/>
    <mergeCell ref="G406:G407"/>
    <mergeCell ref="H406:H407"/>
    <mergeCell ref="I406:I407"/>
    <mergeCell ref="J406:J407"/>
    <mergeCell ref="A406:A407"/>
    <mergeCell ref="B406:B407"/>
    <mergeCell ref="C406:C407"/>
    <mergeCell ref="D406:D407"/>
    <mergeCell ref="E406:E407"/>
    <mergeCell ref="F406:F407"/>
    <mergeCell ref="A414:A415"/>
    <mergeCell ref="B414:B415"/>
    <mergeCell ref="C414:C415"/>
    <mergeCell ref="D414:D415"/>
    <mergeCell ref="E414:E415"/>
    <mergeCell ref="F414:F415"/>
    <mergeCell ref="J412:J413"/>
    <mergeCell ref="A412:A413"/>
    <mergeCell ref="B412:B413"/>
    <mergeCell ref="C412:C413"/>
    <mergeCell ref="D412:D413"/>
    <mergeCell ref="E412:E413"/>
    <mergeCell ref="F412:F413"/>
    <mergeCell ref="G412:G413"/>
    <mergeCell ref="H412:H413"/>
    <mergeCell ref="I412:I413"/>
    <mergeCell ref="A416:A417"/>
    <mergeCell ref="B416:B417"/>
    <mergeCell ref="C416:C417"/>
    <mergeCell ref="D416:D417"/>
    <mergeCell ref="E416:E417"/>
    <mergeCell ref="F416:F417"/>
    <mergeCell ref="G416:G417"/>
    <mergeCell ref="H416:H417"/>
    <mergeCell ref="I416:I417"/>
    <mergeCell ref="G414:G415"/>
    <mergeCell ref="H414:H415"/>
    <mergeCell ref="I414:I415"/>
    <mergeCell ref="J414:J415"/>
    <mergeCell ref="G419:G420"/>
    <mergeCell ref="H419:H420"/>
    <mergeCell ref="I419:I420"/>
    <mergeCell ref="J419:J420"/>
    <mergeCell ref="A419:A420"/>
    <mergeCell ref="B419:B420"/>
    <mergeCell ref="C419:C420"/>
    <mergeCell ref="D419:D420"/>
    <mergeCell ref="E419:E420"/>
    <mergeCell ref="F419:F420"/>
    <mergeCell ref="J416:J417"/>
    <mergeCell ref="A427:A429"/>
    <mergeCell ref="B427:B429"/>
    <mergeCell ref="C427:C429"/>
    <mergeCell ref="D427:D429"/>
    <mergeCell ref="E427:E429"/>
    <mergeCell ref="F427:F429"/>
    <mergeCell ref="J421:J422"/>
    <mergeCell ref="A421:A422"/>
    <mergeCell ref="B421:B422"/>
    <mergeCell ref="C421:C422"/>
    <mergeCell ref="D421:D422"/>
    <mergeCell ref="E421:E422"/>
    <mergeCell ref="F421:F422"/>
    <mergeCell ref="G421:G422"/>
    <mergeCell ref="H421:H422"/>
    <mergeCell ref="I421:I422"/>
    <mergeCell ref="A430:A431"/>
    <mergeCell ref="B430:B431"/>
    <mergeCell ref="C430:C431"/>
    <mergeCell ref="D430:D431"/>
    <mergeCell ref="E430:E431"/>
    <mergeCell ref="F430:F431"/>
    <mergeCell ref="G430:G431"/>
    <mergeCell ref="H430:H431"/>
    <mergeCell ref="I430:I431"/>
    <mergeCell ref="G427:G429"/>
    <mergeCell ref="H427:H429"/>
    <mergeCell ref="I427:I429"/>
    <mergeCell ref="J427:J429"/>
    <mergeCell ref="G432:G433"/>
    <mergeCell ref="H432:H433"/>
    <mergeCell ref="I432:I433"/>
    <mergeCell ref="J432:J433"/>
    <mergeCell ref="A432:A433"/>
    <mergeCell ref="B432:B433"/>
    <mergeCell ref="C432:C433"/>
    <mergeCell ref="D432:D433"/>
    <mergeCell ref="E432:E433"/>
    <mergeCell ref="F432:F433"/>
    <mergeCell ref="J430:J431"/>
    <mergeCell ref="A436:A437"/>
    <mergeCell ref="B436:B437"/>
    <mergeCell ref="C436:C437"/>
    <mergeCell ref="D436:D437"/>
    <mergeCell ref="E436:E437"/>
    <mergeCell ref="F436:F437"/>
    <mergeCell ref="J434:J435"/>
    <mergeCell ref="A434:A435"/>
    <mergeCell ref="B434:B435"/>
    <mergeCell ref="C434:C435"/>
    <mergeCell ref="D434:D435"/>
    <mergeCell ref="E434:E435"/>
    <mergeCell ref="F434:F435"/>
    <mergeCell ref="G434:G435"/>
    <mergeCell ref="H434:H435"/>
    <mergeCell ref="I434:I435"/>
    <mergeCell ref="A438:A439"/>
    <mergeCell ref="B438:B439"/>
    <mergeCell ref="C438:C439"/>
    <mergeCell ref="D438:D439"/>
    <mergeCell ref="E438:E439"/>
    <mergeCell ref="F438:F439"/>
    <mergeCell ref="G438:G439"/>
    <mergeCell ref="H438:H439"/>
    <mergeCell ref="I438:I439"/>
    <mergeCell ref="G436:G437"/>
    <mergeCell ref="H436:H437"/>
    <mergeCell ref="I436:I437"/>
    <mergeCell ref="J436:J437"/>
    <mergeCell ref="G440:G441"/>
    <mergeCell ref="H440:H441"/>
    <mergeCell ref="I440:I441"/>
    <mergeCell ref="J440:J441"/>
    <mergeCell ref="A440:A441"/>
    <mergeCell ref="B440:B441"/>
    <mergeCell ref="C440:C441"/>
    <mergeCell ref="D440:D441"/>
    <mergeCell ref="E440:E441"/>
    <mergeCell ref="F440:F441"/>
    <mergeCell ref="J438:J439"/>
    <mergeCell ref="A444:A445"/>
    <mergeCell ref="B444:B445"/>
    <mergeCell ref="C444:C445"/>
    <mergeCell ref="D444:D445"/>
    <mergeCell ref="E444:E445"/>
    <mergeCell ref="F444:F445"/>
    <mergeCell ref="J442:J443"/>
    <mergeCell ref="A442:A443"/>
    <mergeCell ref="B442:B443"/>
    <mergeCell ref="C442:C443"/>
    <mergeCell ref="D442:D443"/>
    <mergeCell ref="E442:E443"/>
    <mergeCell ref="F442:F443"/>
    <mergeCell ref="G442:G443"/>
    <mergeCell ref="H442:H443"/>
    <mergeCell ref="I442:I443"/>
    <mergeCell ref="A446:A447"/>
    <mergeCell ref="B446:B447"/>
    <mergeCell ref="C446:C447"/>
    <mergeCell ref="D446:D447"/>
    <mergeCell ref="E446:E447"/>
    <mergeCell ref="F446:F447"/>
    <mergeCell ref="G446:G447"/>
    <mergeCell ref="H446:H447"/>
    <mergeCell ref="I446:I447"/>
    <mergeCell ref="G444:G445"/>
    <mergeCell ref="H444:H445"/>
    <mergeCell ref="I444:I445"/>
    <mergeCell ref="J444:J445"/>
    <mergeCell ref="G448:G449"/>
    <mergeCell ref="H448:H449"/>
    <mergeCell ref="I448:I449"/>
    <mergeCell ref="J448:J449"/>
    <mergeCell ref="A448:A449"/>
    <mergeCell ref="B448:B449"/>
    <mergeCell ref="C448:C449"/>
    <mergeCell ref="D448:D449"/>
    <mergeCell ref="E448:E449"/>
    <mergeCell ref="F448:F449"/>
    <mergeCell ref="J446:J447"/>
    <mergeCell ref="A458:A460"/>
    <mergeCell ref="B458:B460"/>
    <mergeCell ref="C458:C460"/>
    <mergeCell ref="D458:D460"/>
    <mergeCell ref="E458:E460"/>
    <mergeCell ref="F458:F460"/>
    <mergeCell ref="J453:J454"/>
    <mergeCell ref="A453:A454"/>
    <mergeCell ref="B453:B454"/>
    <mergeCell ref="C453:C454"/>
    <mergeCell ref="D453:D454"/>
    <mergeCell ref="E453:E454"/>
    <mergeCell ref="F453:F454"/>
    <mergeCell ref="G453:G454"/>
    <mergeCell ref="H453:H454"/>
    <mergeCell ref="I453:I454"/>
    <mergeCell ref="A461:A462"/>
    <mergeCell ref="B461:B462"/>
    <mergeCell ref="C461:C462"/>
    <mergeCell ref="D461:D462"/>
    <mergeCell ref="E461:E462"/>
    <mergeCell ref="F461:F462"/>
    <mergeCell ref="G461:G462"/>
    <mergeCell ref="H461:H462"/>
    <mergeCell ref="I461:I462"/>
    <mergeCell ref="G458:G460"/>
    <mergeCell ref="H458:H460"/>
    <mergeCell ref="I458:I460"/>
    <mergeCell ref="J458:J460"/>
    <mergeCell ref="G465:G466"/>
    <mergeCell ref="H465:H466"/>
    <mergeCell ref="I465:I466"/>
    <mergeCell ref="J465:J466"/>
    <mergeCell ref="A465:A466"/>
    <mergeCell ref="B465:B466"/>
    <mergeCell ref="C465:C466"/>
    <mergeCell ref="D465:D466"/>
    <mergeCell ref="E465:E466"/>
    <mergeCell ref="F465:F466"/>
    <mergeCell ref="J461:J462"/>
    <mergeCell ref="A469:A470"/>
    <mergeCell ref="B469:B470"/>
    <mergeCell ref="C469:C470"/>
    <mergeCell ref="D469:D470"/>
    <mergeCell ref="E469:E470"/>
    <mergeCell ref="F469:F470"/>
    <mergeCell ref="J467:J468"/>
    <mergeCell ref="A467:A468"/>
    <mergeCell ref="B467:B468"/>
    <mergeCell ref="C467:C468"/>
    <mergeCell ref="D467:D468"/>
    <mergeCell ref="E467:E468"/>
    <mergeCell ref="F467:F468"/>
    <mergeCell ref="G467:G468"/>
    <mergeCell ref="H467:H468"/>
    <mergeCell ref="I467:I468"/>
    <mergeCell ref="A472:A473"/>
    <mergeCell ref="B472:B473"/>
    <mergeCell ref="C472:C473"/>
    <mergeCell ref="D472:D473"/>
    <mergeCell ref="E472:E473"/>
    <mergeCell ref="F472:F473"/>
    <mergeCell ref="G472:G473"/>
    <mergeCell ref="H472:H473"/>
    <mergeCell ref="I472:I473"/>
    <mergeCell ref="G469:G470"/>
    <mergeCell ref="H469:H470"/>
    <mergeCell ref="I469:I470"/>
    <mergeCell ref="J469:J470"/>
    <mergeCell ref="G474:G475"/>
    <mergeCell ref="H474:H475"/>
    <mergeCell ref="I474:I475"/>
    <mergeCell ref="J474:J475"/>
    <mergeCell ref="A474:A475"/>
    <mergeCell ref="B474:B475"/>
    <mergeCell ref="C474:C475"/>
    <mergeCell ref="D474:D475"/>
    <mergeCell ref="E474:E475"/>
    <mergeCell ref="F474:F475"/>
    <mergeCell ref="J472:J473"/>
    <mergeCell ref="A478:A479"/>
    <mergeCell ref="B478:B479"/>
    <mergeCell ref="C478:C479"/>
    <mergeCell ref="D478:D479"/>
    <mergeCell ref="E478:E479"/>
    <mergeCell ref="F478:F479"/>
    <mergeCell ref="J476:J477"/>
    <mergeCell ref="A476:A477"/>
    <mergeCell ref="B476:B477"/>
    <mergeCell ref="C476:C477"/>
    <mergeCell ref="D476:D477"/>
    <mergeCell ref="E476:E477"/>
    <mergeCell ref="F476:F477"/>
    <mergeCell ref="G476:G477"/>
    <mergeCell ref="H476:H477"/>
    <mergeCell ref="I476:I477"/>
    <mergeCell ref="A480:A481"/>
    <mergeCell ref="B480:B481"/>
    <mergeCell ref="C480:C481"/>
    <mergeCell ref="D480:D481"/>
    <mergeCell ref="E480:E481"/>
    <mergeCell ref="F480:F481"/>
    <mergeCell ref="G480:G481"/>
    <mergeCell ref="H480:H481"/>
    <mergeCell ref="I480:I481"/>
    <mergeCell ref="G478:G479"/>
    <mergeCell ref="H478:H479"/>
    <mergeCell ref="I478:I479"/>
    <mergeCell ref="J478:J479"/>
    <mergeCell ref="G483:G484"/>
    <mergeCell ref="H483:H484"/>
    <mergeCell ref="I483:I484"/>
    <mergeCell ref="J483:J484"/>
    <mergeCell ref="A483:A484"/>
    <mergeCell ref="B483:B484"/>
    <mergeCell ref="C483:C484"/>
    <mergeCell ref="D483:D484"/>
    <mergeCell ref="E483:E484"/>
    <mergeCell ref="F483:F484"/>
    <mergeCell ref="J480:J481"/>
    <mergeCell ref="A487:A488"/>
    <mergeCell ref="B487:B488"/>
    <mergeCell ref="C487:C488"/>
    <mergeCell ref="D487:D488"/>
    <mergeCell ref="E487:E488"/>
    <mergeCell ref="F487:F488"/>
    <mergeCell ref="J485:J486"/>
    <mergeCell ref="A485:A486"/>
    <mergeCell ref="B485:B486"/>
    <mergeCell ref="C485:C486"/>
    <mergeCell ref="D485:D486"/>
    <mergeCell ref="E485:E486"/>
    <mergeCell ref="F485:F486"/>
    <mergeCell ref="G485:G486"/>
    <mergeCell ref="H485:H486"/>
    <mergeCell ref="I485:I486"/>
    <mergeCell ref="A489:A490"/>
    <mergeCell ref="B489:B490"/>
    <mergeCell ref="C489:C490"/>
    <mergeCell ref="D489:D490"/>
    <mergeCell ref="E489:E490"/>
    <mergeCell ref="F489:F490"/>
    <mergeCell ref="G489:G490"/>
    <mergeCell ref="H489:H490"/>
    <mergeCell ref="I489:I490"/>
    <mergeCell ref="G487:G488"/>
    <mergeCell ref="H487:H488"/>
    <mergeCell ref="I487:I488"/>
    <mergeCell ref="J487:J488"/>
    <mergeCell ref="G492:G493"/>
    <mergeCell ref="H492:H493"/>
    <mergeCell ref="I492:I493"/>
    <mergeCell ref="J492:J493"/>
    <mergeCell ref="A492:A493"/>
    <mergeCell ref="B492:B493"/>
    <mergeCell ref="C492:C493"/>
    <mergeCell ref="D492:D493"/>
    <mergeCell ref="E492:E493"/>
    <mergeCell ref="F492:F493"/>
    <mergeCell ref="J489:J490"/>
    <mergeCell ref="A496:A497"/>
    <mergeCell ref="B496:B497"/>
    <mergeCell ref="C496:C497"/>
    <mergeCell ref="D496:D497"/>
    <mergeCell ref="E496:E497"/>
    <mergeCell ref="F496:F497"/>
    <mergeCell ref="J494:J495"/>
    <mergeCell ref="A494:A495"/>
    <mergeCell ref="B494:B495"/>
    <mergeCell ref="C494:C495"/>
    <mergeCell ref="D494:D495"/>
    <mergeCell ref="E494:E495"/>
    <mergeCell ref="F494:F495"/>
    <mergeCell ref="G494:G495"/>
    <mergeCell ref="H494:H495"/>
    <mergeCell ref="I494:I495"/>
    <mergeCell ref="A498:A499"/>
    <mergeCell ref="B498:B499"/>
    <mergeCell ref="C498:C499"/>
    <mergeCell ref="D498:D499"/>
    <mergeCell ref="E498:E499"/>
    <mergeCell ref="F498:F499"/>
    <mergeCell ref="G498:G499"/>
    <mergeCell ref="H498:H499"/>
    <mergeCell ref="I498:I499"/>
    <mergeCell ref="G496:G497"/>
    <mergeCell ref="H496:H497"/>
    <mergeCell ref="I496:I497"/>
    <mergeCell ref="J496:J497"/>
    <mergeCell ref="G500:G501"/>
    <mergeCell ref="H500:H501"/>
    <mergeCell ref="I500:I501"/>
    <mergeCell ref="J500:J501"/>
    <mergeCell ref="A500:A501"/>
    <mergeCell ref="B500:B501"/>
    <mergeCell ref="C500:C501"/>
    <mergeCell ref="D500:D501"/>
    <mergeCell ref="E500:E501"/>
    <mergeCell ref="F500:F501"/>
    <mergeCell ref="J498:J499"/>
    <mergeCell ref="A515:A516"/>
    <mergeCell ref="B515:B516"/>
    <mergeCell ref="C515:C516"/>
    <mergeCell ref="D515:D516"/>
    <mergeCell ref="E515:E516"/>
    <mergeCell ref="F515:F516"/>
    <mergeCell ref="J502:J503"/>
    <mergeCell ref="A502:A503"/>
    <mergeCell ref="B502:B503"/>
    <mergeCell ref="C502:C503"/>
    <mergeCell ref="D502:D503"/>
    <mergeCell ref="E502:E503"/>
    <mergeCell ref="F502:F503"/>
    <mergeCell ref="G502:G503"/>
    <mergeCell ref="H502:H503"/>
    <mergeCell ref="I502:I503"/>
    <mergeCell ref="A517:A518"/>
    <mergeCell ref="B517:B518"/>
    <mergeCell ref="C517:C518"/>
    <mergeCell ref="D517:D518"/>
    <mergeCell ref="E517:E518"/>
    <mergeCell ref="F517:F518"/>
    <mergeCell ref="G517:G518"/>
    <mergeCell ref="H517:H518"/>
    <mergeCell ref="I517:I518"/>
    <mergeCell ref="G515:G516"/>
    <mergeCell ref="H515:H516"/>
    <mergeCell ref="I515:I516"/>
    <mergeCell ref="J515:J516"/>
    <mergeCell ref="G519:G520"/>
    <mergeCell ref="H519:H520"/>
    <mergeCell ref="I519:I520"/>
    <mergeCell ref="J519:J520"/>
    <mergeCell ref="A519:A520"/>
    <mergeCell ref="B519:B520"/>
    <mergeCell ref="C519:C520"/>
    <mergeCell ref="D519:D520"/>
    <mergeCell ref="E519:E520"/>
    <mergeCell ref="F519:F520"/>
    <mergeCell ref="J517:J518"/>
    <mergeCell ref="A533:A534"/>
    <mergeCell ref="B533:B534"/>
    <mergeCell ref="C533:C534"/>
    <mergeCell ref="D533:D534"/>
    <mergeCell ref="E533:E534"/>
    <mergeCell ref="F533:F534"/>
    <mergeCell ref="J522:J523"/>
    <mergeCell ref="A522:A523"/>
    <mergeCell ref="B522:B523"/>
    <mergeCell ref="C522:C523"/>
    <mergeCell ref="D522:D523"/>
    <mergeCell ref="E522:E523"/>
    <mergeCell ref="F522:F523"/>
    <mergeCell ref="G522:G523"/>
    <mergeCell ref="H522:H523"/>
    <mergeCell ref="I522:I523"/>
    <mergeCell ref="A538:A539"/>
    <mergeCell ref="B538:B539"/>
    <mergeCell ref="C538:C539"/>
    <mergeCell ref="D538:D539"/>
    <mergeCell ref="E538:E539"/>
    <mergeCell ref="F538:F539"/>
    <mergeCell ref="G538:G539"/>
    <mergeCell ref="H538:H539"/>
    <mergeCell ref="I538:I539"/>
    <mergeCell ref="G533:G534"/>
    <mergeCell ref="H533:H534"/>
    <mergeCell ref="I533:I534"/>
    <mergeCell ref="J533:J534"/>
    <mergeCell ref="G540:G541"/>
    <mergeCell ref="H540:H541"/>
    <mergeCell ref="I540:I541"/>
    <mergeCell ref="J540:J541"/>
    <mergeCell ref="A540:A541"/>
    <mergeCell ref="B540:B541"/>
    <mergeCell ref="C540:C541"/>
    <mergeCell ref="D540:D541"/>
    <mergeCell ref="E540:E541"/>
    <mergeCell ref="F540:F541"/>
    <mergeCell ref="J538:J539"/>
    <mergeCell ref="A546:A547"/>
    <mergeCell ref="B546:B547"/>
    <mergeCell ref="C546:C547"/>
    <mergeCell ref="D546:D547"/>
    <mergeCell ref="E546:E547"/>
    <mergeCell ref="F546:F547"/>
    <mergeCell ref="J544:J545"/>
    <mergeCell ref="A544:A545"/>
    <mergeCell ref="B544:B545"/>
    <mergeCell ref="C544:C545"/>
    <mergeCell ref="D544:D545"/>
    <mergeCell ref="E544:E545"/>
    <mergeCell ref="F544:F545"/>
    <mergeCell ref="G544:G545"/>
    <mergeCell ref="H544:H545"/>
    <mergeCell ref="I544:I545"/>
    <mergeCell ref="A548:A549"/>
    <mergeCell ref="B548:B549"/>
    <mergeCell ref="C548:C549"/>
    <mergeCell ref="D548:D549"/>
    <mergeCell ref="E548:E549"/>
    <mergeCell ref="F548:F549"/>
    <mergeCell ref="G548:G549"/>
    <mergeCell ref="H548:H549"/>
    <mergeCell ref="I548:I549"/>
    <mergeCell ref="G546:G547"/>
    <mergeCell ref="H546:H547"/>
    <mergeCell ref="I546:I547"/>
    <mergeCell ref="J546:J547"/>
    <mergeCell ref="G550:G551"/>
    <mergeCell ref="H550:H551"/>
    <mergeCell ref="I550:I551"/>
    <mergeCell ref="J550:J551"/>
    <mergeCell ref="A550:A551"/>
    <mergeCell ref="B550:B551"/>
    <mergeCell ref="C550:C551"/>
    <mergeCell ref="D550:D551"/>
    <mergeCell ref="E550:E551"/>
    <mergeCell ref="F550:F551"/>
    <mergeCell ref="J548:J549"/>
    <mergeCell ref="A554:A555"/>
    <mergeCell ref="B554:B555"/>
    <mergeCell ref="C554:C555"/>
    <mergeCell ref="D554:D555"/>
    <mergeCell ref="E554:E555"/>
    <mergeCell ref="F554:F555"/>
    <mergeCell ref="J552:J553"/>
    <mergeCell ref="A552:A553"/>
    <mergeCell ref="B552:B553"/>
    <mergeCell ref="C552:C553"/>
    <mergeCell ref="D552:D553"/>
    <mergeCell ref="E552:E553"/>
    <mergeCell ref="F552:F553"/>
    <mergeCell ref="G552:G553"/>
    <mergeCell ref="H552:H553"/>
    <mergeCell ref="I552:I553"/>
    <mergeCell ref="A556:A557"/>
    <mergeCell ref="B556:B557"/>
    <mergeCell ref="C556:C557"/>
    <mergeCell ref="D556:D557"/>
    <mergeCell ref="E556:E557"/>
    <mergeCell ref="F556:F557"/>
    <mergeCell ref="G556:G557"/>
    <mergeCell ref="H556:H557"/>
    <mergeCell ref="I556:I557"/>
    <mergeCell ref="G554:G555"/>
    <mergeCell ref="H554:H555"/>
    <mergeCell ref="I554:I555"/>
    <mergeCell ref="J554:J555"/>
    <mergeCell ref="G558:G559"/>
    <mergeCell ref="H558:H559"/>
    <mergeCell ref="I558:I559"/>
    <mergeCell ref="J558:J559"/>
    <mergeCell ref="A558:A559"/>
    <mergeCell ref="B558:B559"/>
    <mergeCell ref="C558:C559"/>
    <mergeCell ref="D558:D559"/>
    <mergeCell ref="E558:E559"/>
    <mergeCell ref="F558:F559"/>
    <mergeCell ref="J556:J557"/>
    <mergeCell ref="A562:A563"/>
    <mergeCell ref="B562:B563"/>
    <mergeCell ref="C562:C563"/>
    <mergeCell ref="D562:D563"/>
    <mergeCell ref="E562:E563"/>
    <mergeCell ref="F562:F563"/>
    <mergeCell ref="J560:J561"/>
    <mergeCell ref="A560:A561"/>
    <mergeCell ref="B560:B561"/>
    <mergeCell ref="C560:C561"/>
    <mergeCell ref="D560:D561"/>
    <mergeCell ref="E560:E561"/>
    <mergeCell ref="F560:F561"/>
    <mergeCell ref="G560:G561"/>
    <mergeCell ref="H560:H561"/>
    <mergeCell ref="I560:I561"/>
    <mergeCell ref="A564:A565"/>
    <mergeCell ref="B564:B565"/>
    <mergeCell ref="C564:C565"/>
    <mergeCell ref="D564:D565"/>
    <mergeCell ref="E564:E565"/>
    <mergeCell ref="F564:F565"/>
    <mergeCell ref="G564:G565"/>
    <mergeCell ref="H564:H565"/>
    <mergeCell ref="I564:I565"/>
    <mergeCell ref="G562:G563"/>
    <mergeCell ref="H562:H563"/>
    <mergeCell ref="I562:I563"/>
    <mergeCell ref="J562:J563"/>
    <mergeCell ref="G566:G567"/>
    <mergeCell ref="H566:H567"/>
    <mergeCell ref="I566:I567"/>
    <mergeCell ref="J566:J567"/>
    <mergeCell ref="A566:A567"/>
    <mergeCell ref="B566:B567"/>
    <mergeCell ref="C566:C567"/>
    <mergeCell ref="D566:D567"/>
    <mergeCell ref="E566:E567"/>
    <mergeCell ref="F566:F567"/>
    <mergeCell ref="J564:J565"/>
    <mergeCell ref="A570:A571"/>
    <mergeCell ref="B570:B571"/>
    <mergeCell ref="C570:C571"/>
    <mergeCell ref="D570:D571"/>
    <mergeCell ref="E570:E571"/>
    <mergeCell ref="F570:F571"/>
    <mergeCell ref="J568:J569"/>
    <mergeCell ref="A568:A569"/>
    <mergeCell ref="B568:B569"/>
    <mergeCell ref="C568:C569"/>
    <mergeCell ref="D568:D569"/>
    <mergeCell ref="E568:E569"/>
    <mergeCell ref="F568:F569"/>
    <mergeCell ref="G568:G569"/>
    <mergeCell ref="H568:H569"/>
    <mergeCell ref="I568:I569"/>
    <mergeCell ref="A572:A573"/>
    <mergeCell ref="B572:B573"/>
    <mergeCell ref="C572:C573"/>
    <mergeCell ref="D572:D573"/>
    <mergeCell ref="E572:E573"/>
    <mergeCell ref="F572:F573"/>
    <mergeCell ref="G572:G573"/>
    <mergeCell ref="H572:H573"/>
    <mergeCell ref="I572:I573"/>
    <mergeCell ref="G570:G571"/>
    <mergeCell ref="H570:H571"/>
    <mergeCell ref="I570:I571"/>
    <mergeCell ref="J570:J571"/>
    <mergeCell ref="G574:G575"/>
    <mergeCell ref="H574:H575"/>
    <mergeCell ref="I574:I575"/>
    <mergeCell ref="J574:J575"/>
    <mergeCell ref="A574:A575"/>
    <mergeCell ref="B574:B575"/>
    <mergeCell ref="C574:C575"/>
    <mergeCell ref="D574:D575"/>
    <mergeCell ref="E574:E575"/>
    <mergeCell ref="F574:F575"/>
    <mergeCell ref="J572:J573"/>
    <mergeCell ref="A591:A592"/>
    <mergeCell ref="B591:B592"/>
    <mergeCell ref="C591:C592"/>
    <mergeCell ref="D591:D592"/>
    <mergeCell ref="E591:E592"/>
    <mergeCell ref="F591:F592"/>
    <mergeCell ref="J576:J577"/>
    <mergeCell ref="A576:A577"/>
    <mergeCell ref="B576:B577"/>
    <mergeCell ref="C576:C577"/>
    <mergeCell ref="D576:D577"/>
    <mergeCell ref="E576:E577"/>
    <mergeCell ref="F576:F577"/>
    <mergeCell ref="G576:G577"/>
    <mergeCell ref="H576:H577"/>
    <mergeCell ref="I576:I577"/>
    <mergeCell ref="A594:A595"/>
    <mergeCell ref="B594:B595"/>
    <mergeCell ref="C594:C595"/>
    <mergeCell ref="D594:D595"/>
    <mergeCell ref="E594:E595"/>
    <mergeCell ref="F594:F595"/>
    <mergeCell ref="G594:G595"/>
    <mergeCell ref="H594:H595"/>
    <mergeCell ref="I594:I595"/>
    <mergeCell ref="G591:G592"/>
    <mergeCell ref="H591:H592"/>
    <mergeCell ref="I591:I592"/>
    <mergeCell ref="J591:J592"/>
    <mergeCell ref="J594:J595"/>
    <mergeCell ref="H606:H607"/>
    <mergeCell ref="I606:I607"/>
    <mergeCell ref="J606:J607"/>
    <mergeCell ref="A602:B602"/>
    <mergeCell ref="A604:B604"/>
    <mergeCell ref="A606:A607"/>
    <mergeCell ref="B606:B607"/>
    <mergeCell ref="C606:C607"/>
    <mergeCell ref="D606:D607"/>
    <mergeCell ref="E606:E607"/>
    <mergeCell ref="F606:F607"/>
    <mergeCell ref="G606:G607"/>
    <mergeCell ref="G596:G597"/>
    <mergeCell ref="H596:H597"/>
    <mergeCell ref="I596:I597"/>
    <mergeCell ref="J596:J597"/>
    <mergeCell ref="F611:F612"/>
    <mergeCell ref="G611:G612"/>
    <mergeCell ref="H611:H612"/>
    <mergeCell ref="I611:I612"/>
    <mergeCell ref="G609:G610"/>
    <mergeCell ref="H609:H610"/>
    <mergeCell ref="I609:I610"/>
    <mergeCell ref="J609:J610"/>
    <mergeCell ref="A609:A610"/>
    <mergeCell ref="B609:B610"/>
    <mergeCell ref="C609:C610"/>
    <mergeCell ref="D609:D610"/>
    <mergeCell ref="E609:E610"/>
    <mergeCell ref="F609:F610"/>
    <mergeCell ref="A596:A597"/>
    <mergeCell ref="B596:B597"/>
    <mergeCell ref="C596:C597"/>
    <mergeCell ref="D596:D597"/>
    <mergeCell ref="E596:E597"/>
    <mergeCell ref="F596:F597"/>
    <mergeCell ref="G613:G614"/>
    <mergeCell ref="H613:H614"/>
    <mergeCell ref="I613:I614"/>
    <mergeCell ref="J613:J614"/>
    <mergeCell ref="A613:A614"/>
    <mergeCell ref="B613:B614"/>
    <mergeCell ref="C613:C614"/>
    <mergeCell ref="D613:D614"/>
    <mergeCell ref="E613:E614"/>
    <mergeCell ref="F613:F614"/>
    <mergeCell ref="J611:J612"/>
    <mergeCell ref="A624:A625"/>
    <mergeCell ref="B624:B625"/>
    <mergeCell ref="C624:C625"/>
    <mergeCell ref="D624:D625"/>
    <mergeCell ref="E624:E625"/>
    <mergeCell ref="I617:I618"/>
    <mergeCell ref="J617:J618"/>
    <mergeCell ref="A615:B615"/>
    <mergeCell ref="A617:A618"/>
    <mergeCell ref="B617:B618"/>
    <mergeCell ref="C617:C618"/>
    <mergeCell ref="D617:D618"/>
    <mergeCell ref="E617:E618"/>
    <mergeCell ref="F617:F618"/>
    <mergeCell ref="G617:G618"/>
    <mergeCell ref="H617:H618"/>
    <mergeCell ref="A611:A612"/>
    <mergeCell ref="B611:B612"/>
    <mergeCell ref="C611:C612"/>
    <mergeCell ref="D611:D612"/>
    <mergeCell ref="E611:E612"/>
    <mergeCell ref="A628:A629"/>
    <mergeCell ref="B628:B629"/>
    <mergeCell ref="C628:C629"/>
    <mergeCell ref="D628:D629"/>
    <mergeCell ref="E628:E629"/>
    <mergeCell ref="F628:F629"/>
    <mergeCell ref="G628:G629"/>
    <mergeCell ref="H628:H629"/>
    <mergeCell ref="F624:F625"/>
    <mergeCell ref="G624:G625"/>
    <mergeCell ref="H624:H625"/>
    <mergeCell ref="I624:I625"/>
    <mergeCell ref="J624:J625"/>
    <mergeCell ref="F650:F651"/>
    <mergeCell ref="G650:G651"/>
    <mergeCell ref="H650:H651"/>
    <mergeCell ref="I650:I651"/>
    <mergeCell ref="J650:J651"/>
    <mergeCell ref="A650:A651"/>
    <mergeCell ref="B650:B651"/>
    <mergeCell ref="C650:C651"/>
    <mergeCell ref="D650:D651"/>
    <mergeCell ref="E650:E651"/>
    <mergeCell ref="I628:I629"/>
    <mergeCell ref="J628:J629"/>
    <mergeCell ref="A656:A657"/>
    <mergeCell ref="B656:B657"/>
    <mergeCell ref="C656:C657"/>
    <mergeCell ref="D656:D657"/>
    <mergeCell ref="E656:E657"/>
    <mergeCell ref="I653:I654"/>
    <mergeCell ref="J653:J654"/>
    <mergeCell ref="A653:A654"/>
    <mergeCell ref="B653:B654"/>
    <mergeCell ref="C653:C654"/>
    <mergeCell ref="D653:D654"/>
    <mergeCell ref="E653:E654"/>
    <mergeCell ref="F653:F654"/>
    <mergeCell ref="G653:G654"/>
    <mergeCell ref="H653:H654"/>
    <mergeCell ref="A660:A661"/>
    <mergeCell ref="B660:B661"/>
    <mergeCell ref="C660:C661"/>
    <mergeCell ref="D660:D661"/>
    <mergeCell ref="E660:E661"/>
    <mergeCell ref="F660:F661"/>
    <mergeCell ref="G660:G661"/>
    <mergeCell ref="H660:H661"/>
    <mergeCell ref="F656:F657"/>
    <mergeCell ref="G656:G657"/>
    <mergeCell ref="H656:H657"/>
    <mergeCell ref="I656:I657"/>
    <mergeCell ref="J656:J657"/>
    <mergeCell ref="F666:F668"/>
    <mergeCell ref="G666:G668"/>
    <mergeCell ref="H666:H668"/>
    <mergeCell ref="I666:I668"/>
    <mergeCell ref="J666:J668"/>
    <mergeCell ref="A666:A668"/>
    <mergeCell ref="B666:B668"/>
    <mergeCell ref="C666:C668"/>
    <mergeCell ref="D666:D668"/>
    <mergeCell ref="E666:E668"/>
    <mergeCell ref="I660:I661"/>
    <mergeCell ref="J660:J661"/>
    <mergeCell ref="I671:I672"/>
    <mergeCell ref="J671:J672"/>
    <mergeCell ref="A671:A672"/>
    <mergeCell ref="B671:B672"/>
    <mergeCell ref="C671:C672"/>
    <mergeCell ref="D671:D672"/>
    <mergeCell ref="E671:E672"/>
    <mergeCell ref="F671:F672"/>
    <mergeCell ref="G671:G672"/>
    <mergeCell ref="H671:H672"/>
    <mergeCell ref="A675:A676"/>
    <mergeCell ref="B675:B676"/>
    <mergeCell ref="C675:C676"/>
    <mergeCell ref="D675:D676"/>
    <mergeCell ref="E675:E676"/>
    <mergeCell ref="F675:F676"/>
    <mergeCell ref="G675:G676"/>
    <mergeCell ref="H675:H676"/>
    <mergeCell ref="F673:F674"/>
    <mergeCell ref="G673:G674"/>
    <mergeCell ref="H673:H674"/>
    <mergeCell ref="I673:I674"/>
    <mergeCell ref="J673:J674"/>
    <mergeCell ref="A679:B679"/>
    <mergeCell ref="A687:C687"/>
    <mergeCell ref="F677:F678"/>
    <mergeCell ref="G677:G678"/>
    <mergeCell ref="H677:H678"/>
    <mergeCell ref="I677:I678"/>
    <mergeCell ref="J677:J678"/>
    <mergeCell ref="A677:A678"/>
    <mergeCell ref="B677:B678"/>
    <mergeCell ref="C677:C678"/>
    <mergeCell ref="D677:D678"/>
    <mergeCell ref="E677:E678"/>
    <mergeCell ref="I675:I676"/>
    <mergeCell ref="J675:J676"/>
    <mergeCell ref="A673:A674"/>
    <mergeCell ref="B673:B674"/>
    <mergeCell ref="C673:C674"/>
    <mergeCell ref="D673:D674"/>
    <mergeCell ref="E673:E674"/>
  </mergeCells>
  <phoneticPr fontId="3" type="noConversion"/>
  <printOptions horizontalCentered="1"/>
  <pageMargins left="0.78740157480314965" right="0.78740157480314965" top="0.39370078740157483" bottom="0.39370078740157483" header="0.51181102362204722" footer="0.19685039370078741"/>
  <pageSetup paperSize="9" scale="5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view="pageBreakPreview" zoomScale="96" zoomScaleNormal="100" zoomScaleSheetLayoutView="96" workbookViewId="0">
      <selection activeCell="C27" sqref="B27:C29"/>
    </sheetView>
  </sheetViews>
  <sheetFormatPr defaultRowHeight="21.95" customHeight="1" x14ac:dyDescent="0.25"/>
  <cols>
    <col min="1" max="1" width="4.625" style="1" customWidth="1"/>
    <col min="2" max="2" width="28.625" style="1" customWidth="1"/>
    <col min="3" max="3" width="12.125" style="1" customWidth="1"/>
    <col min="4" max="5" width="10.625" style="1" customWidth="1"/>
    <col min="6" max="6" width="4.625" style="1" customWidth="1"/>
    <col min="7" max="7" width="34.625" style="1" customWidth="1"/>
    <col min="8" max="8" width="10.375" style="1" customWidth="1"/>
    <col min="9" max="9" width="10.625" style="1" customWidth="1"/>
    <col min="10" max="10" width="12.625" style="1" customWidth="1"/>
    <col min="11" max="11" width="21.375" style="1" customWidth="1"/>
    <col min="12" max="16384" width="9" style="1"/>
  </cols>
  <sheetData>
    <row r="1" spans="1:11" s="59" customFormat="1" ht="18" customHeight="1" x14ac:dyDescent="0.25">
      <c r="A1" s="104" t="s">
        <v>0</v>
      </c>
      <c r="B1" s="104"/>
      <c r="C1" s="104"/>
      <c r="D1" s="104"/>
      <c r="E1" s="104"/>
      <c r="F1" s="104"/>
      <c r="G1" s="104"/>
      <c r="H1" s="104"/>
      <c r="I1" s="104"/>
      <c r="J1" s="104"/>
      <c r="K1" s="104"/>
    </row>
    <row r="2" spans="1:11" s="59" customFormat="1" ht="18" customHeight="1" x14ac:dyDescent="0.25">
      <c r="A2" s="104" t="s">
        <v>1</v>
      </c>
      <c r="B2" s="104"/>
      <c r="C2" s="104"/>
      <c r="D2" s="104"/>
      <c r="E2" s="104"/>
      <c r="F2" s="104"/>
      <c r="G2" s="104"/>
      <c r="H2" s="104"/>
      <c r="I2" s="104"/>
      <c r="J2" s="104"/>
      <c r="K2" s="104"/>
    </row>
    <row r="3" spans="1:11" s="60" customFormat="1" ht="16.5" x14ac:dyDescent="0.25">
      <c r="A3" s="89" t="s">
        <v>1319</v>
      </c>
      <c r="B3" s="89"/>
      <c r="C3" s="89"/>
      <c r="D3" s="89"/>
      <c r="E3" s="89"/>
      <c r="F3" s="89"/>
      <c r="G3" s="89"/>
      <c r="H3" s="89"/>
      <c r="I3" s="89"/>
      <c r="J3" s="89"/>
      <c r="K3" s="89"/>
    </row>
    <row r="4" spans="1:11" s="60" customFormat="1" ht="16.5" x14ac:dyDescent="0.25">
      <c r="A4" s="61"/>
      <c r="B4" s="62"/>
      <c r="C4" s="62"/>
      <c r="D4" s="62"/>
      <c r="E4" s="62"/>
      <c r="F4" s="62"/>
      <c r="G4" s="62"/>
      <c r="H4" s="62"/>
      <c r="I4" s="62"/>
      <c r="J4" s="62"/>
      <c r="K4" s="68" t="s">
        <v>1318</v>
      </c>
    </row>
    <row r="5" spans="1:11" s="59" customFormat="1" ht="15.75" customHeight="1" x14ac:dyDescent="0.25">
      <c r="A5" s="105" t="s">
        <v>2</v>
      </c>
      <c r="B5" s="105"/>
      <c r="C5" s="105"/>
      <c r="D5" s="105"/>
      <c r="E5" s="105"/>
      <c r="F5" s="106" t="s">
        <v>3</v>
      </c>
      <c r="G5" s="106" t="s">
        <v>4</v>
      </c>
      <c r="H5" s="106" t="s">
        <v>5</v>
      </c>
      <c r="I5" s="105" t="s">
        <v>6</v>
      </c>
      <c r="J5" s="105"/>
      <c r="K5" s="63"/>
    </row>
    <row r="6" spans="1:11" s="59" customFormat="1" ht="41.25" customHeight="1" x14ac:dyDescent="0.25">
      <c r="A6" s="64" t="s">
        <v>7</v>
      </c>
      <c r="B6" s="64" t="s">
        <v>8</v>
      </c>
      <c r="C6" s="64" t="s">
        <v>9</v>
      </c>
      <c r="D6" s="65" t="s">
        <v>10</v>
      </c>
      <c r="E6" s="65" t="s">
        <v>11</v>
      </c>
      <c r="F6" s="106"/>
      <c r="G6" s="106"/>
      <c r="H6" s="106"/>
      <c r="I6" s="64" t="s">
        <v>12</v>
      </c>
      <c r="J6" s="64" t="s">
        <v>13</v>
      </c>
      <c r="K6" s="64" t="s">
        <v>14</v>
      </c>
    </row>
    <row r="7" spans="1:11" ht="15" customHeight="1" x14ac:dyDescent="0.25">
      <c r="A7" s="91" t="s">
        <v>15</v>
      </c>
      <c r="B7" s="93"/>
      <c r="K7" s="2"/>
    </row>
    <row r="8" spans="1:11" ht="30" customHeight="1" x14ac:dyDescent="0.25">
      <c r="A8" s="3">
        <v>109</v>
      </c>
      <c r="B8" s="3" t="s">
        <v>16</v>
      </c>
      <c r="C8" s="3" t="s">
        <v>17</v>
      </c>
      <c r="D8" s="4">
        <v>123000</v>
      </c>
      <c r="E8" s="3"/>
      <c r="F8" s="3">
        <v>3</v>
      </c>
      <c r="G8" s="3" t="s">
        <v>18</v>
      </c>
      <c r="H8" s="3"/>
      <c r="I8" s="3" t="s">
        <v>19</v>
      </c>
      <c r="J8" s="3"/>
      <c r="K8" s="5" t="s">
        <v>20</v>
      </c>
    </row>
    <row r="9" spans="1:11" ht="30" customHeight="1" x14ac:dyDescent="0.25">
      <c r="A9" s="3">
        <v>109</v>
      </c>
      <c r="B9" s="3" t="s">
        <v>21</v>
      </c>
      <c r="C9" s="3" t="s">
        <v>17</v>
      </c>
      <c r="D9" s="4">
        <v>50000</v>
      </c>
      <c r="E9" s="3"/>
      <c r="F9" s="3">
        <v>3</v>
      </c>
      <c r="G9" s="3" t="s">
        <v>22</v>
      </c>
      <c r="H9" s="3"/>
      <c r="I9" s="3" t="s">
        <v>19</v>
      </c>
      <c r="J9" s="3"/>
      <c r="K9" s="5" t="s">
        <v>20</v>
      </c>
    </row>
    <row r="10" spans="1:11" ht="15" customHeight="1" x14ac:dyDescent="0.25">
      <c r="A10" s="91" t="s">
        <v>23</v>
      </c>
      <c r="B10" s="93"/>
      <c r="K10" s="2"/>
    </row>
    <row r="11" spans="1:11" ht="27" customHeight="1" x14ac:dyDescent="0.25">
      <c r="A11" s="3">
        <v>109</v>
      </c>
      <c r="B11" s="3" t="s">
        <v>16</v>
      </c>
      <c r="C11" s="3" t="s">
        <v>17</v>
      </c>
      <c r="D11" s="4">
        <v>3490000</v>
      </c>
      <c r="E11" s="3"/>
      <c r="F11" s="3">
        <v>4</v>
      </c>
      <c r="G11" s="3" t="s">
        <v>24</v>
      </c>
      <c r="H11" s="3"/>
      <c r="I11" s="3" t="s">
        <v>19</v>
      </c>
      <c r="J11" s="3"/>
      <c r="K11" s="3" t="s">
        <v>25</v>
      </c>
    </row>
    <row r="12" spans="1:11" ht="17.100000000000001" customHeight="1" x14ac:dyDescent="0.25">
      <c r="A12" s="94">
        <v>109</v>
      </c>
      <c r="B12" s="94" t="s">
        <v>26</v>
      </c>
      <c r="C12" s="94" t="s">
        <v>17</v>
      </c>
      <c r="D12" s="94"/>
      <c r="E12" s="97">
        <v>40301</v>
      </c>
      <c r="F12" s="94">
        <v>4</v>
      </c>
      <c r="G12" s="94" t="s">
        <v>27</v>
      </c>
      <c r="H12" s="94" t="s">
        <v>28</v>
      </c>
      <c r="I12" s="94" t="s">
        <v>29</v>
      </c>
      <c r="J12" s="94" t="s">
        <v>30</v>
      </c>
      <c r="K12" s="6" t="s">
        <v>31</v>
      </c>
    </row>
    <row r="13" spans="1:11" ht="17.100000000000001" customHeight="1" x14ac:dyDescent="0.25">
      <c r="A13" s="95"/>
      <c r="B13" s="95"/>
      <c r="C13" s="95"/>
      <c r="D13" s="95"/>
      <c r="E13" s="98"/>
      <c r="F13" s="95"/>
      <c r="G13" s="95"/>
      <c r="H13" s="95"/>
      <c r="I13" s="95"/>
      <c r="J13" s="95"/>
      <c r="K13" s="7"/>
    </row>
    <row r="14" spans="1:11" ht="17.100000000000001" customHeight="1" x14ac:dyDescent="0.25">
      <c r="A14" s="96"/>
      <c r="B14" s="96"/>
      <c r="C14" s="96"/>
      <c r="D14" s="96"/>
      <c r="E14" s="99"/>
      <c r="F14" s="96"/>
      <c r="G14" s="96"/>
      <c r="H14" s="96"/>
      <c r="I14" s="96"/>
      <c r="J14" s="96"/>
      <c r="K14" s="8" t="s">
        <v>32</v>
      </c>
    </row>
    <row r="15" spans="1:11" ht="17.100000000000001" customHeight="1" x14ac:dyDescent="0.25">
      <c r="A15" s="94">
        <v>109</v>
      </c>
      <c r="B15" s="94" t="s">
        <v>33</v>
      </c>
      <c r="C15" s="94" t="s">
        <v>17</v>
      </c>
      <c r="D15" s="94"/>
      <c r="E15" s="97">
        <v>6113</v>
      </c>
      <c r="F15" s="94">
        <v>4</v>
      </c>
      <c r="G15" s="94" t="s">
        <v>34</v>
      </c>
      <c r="H15" s="94" t="s">
        <v>35</v>
      </c>
      <c r="I15" s="94" t="s">
        <v>36</v>
      </c>
      <c r="J15" s="94" t="s">
        <v>37</v>
      </c>
      <c r="K15" s="6" t="s">
        <v>38</v>
      </c>
    </row>
    <row r="16" spans="1:11" ht="17.100000000000001" customHeight="1" x14ac:dyDescent="0.25">
      <c r="A16" s="95"/>
      <c r="B16" s="95"/>
      <c r="C16" s="95"/>
      <c r="D16" s="95"/>
      <c r="E16" s="98"/>
      <c r="F16" s="95"/>
      <c r="G16" s="95"/>
      <c r="H16" s="95"/>
      <c r="I16" s="95"/>
      <c r="J16" s="95"/>
      <c r="K16" s="7"/>
    </row>
    <row r="17" spans="1:11" ht="17.100000000000001" customHeight="1" x14ac:dyDescent="0.25">
      <c r="A17" s="96"/>
      <c r="B17" s="96"/>
      <c r="C17" s="96"/>
      <c r="D17" s="96"/>
      <c r="E17" s="99"/>
      <c r="F17" s="96"/>
      <c r="G17" s="96"/>
      <c r="H17" s="96"/>
      <c r="I17" s="96"/>
      <c r="J17" s="96"/>
      <c r="K17" s="8" t="s">
        <v>39</v>
      </c>
    </row>
    <row r="18" spans="1:11" ht="17.100000000000001" customHeight="1" x14ac:dyDescent="0.25">
      <c r="A18" s="94">
        <v>109</v>
      </c>
      <c r="B18" s="94" t="s">
        <v>26</v>
      </c>
      <c r="C18" s="94" t="s">
        <v>17</v>
      </c>
      <c r="D18" s="94"/>
      <c r="E18" s="97">
        <v>49406</v>
      </c>
      <c r="F18" s="94">
        <v>4</v>
      </c>
      <c r="G18" s="100" t="s">
        <v>40</v>
      </c>
      <c r="H18" s="94" t="s">
        <v>41</v>
      </c>
      <c r="I18" s="94" t="s">
        <v>29</v>
      </c>
      <c r="J18" s="94" t="s">
        <v>30</v>
      </c>
      <c r="K18" s="6" t="s">
        <v>42</v>
      </c>
    </row>
    <row r="19" spans="1:11" ht="17.100000000000001" customHeight="1" x14ac:dyDescent="0.25">
      <c r="A19" s="95"/>
      <c r="B19" s="95"/>
      <c r="C19" s="95"/>
      <c r="D19" s="95"/>
      <c r="E19" s="98"/>
      <c r="F19" s="95"/>
      <c r="G19" s="95"/>
      <c r="H19" s="95"/>
      <c r="I19" s="95"/>
      <c r="J19" s="95"/>
      <c r="K19" s="7"/>
    </row>
    <row r="20" spans="1:11" ht="17.100000000000001" customHeight="1" x14ac:dyDescent="0.25">
      <c r="A20" s="96"/>
      <c r="B20" s="96"/>
      <c r="C20" s="96"/>
      <c r="D20" s="96"/>
      <c r="E20" s="99"/>
      <c r="F20" s="96"/>
      <c r="G20" s="96"/>
      <c r="H20" s="96"/>
      <c r="I20" s="96"/>
      <c r="J20" s="96"/>
      <c r="K20" s="8" t="s">
        <v>39</v>
      </c>
    </row>
    <row r="21" spans="1:11" ht="24" customHeight="1" x14ac:dyDescent="0.25">
      <c r="A21" s="94">
        <v>109</v>
      </c>
      <c r="B21" s="94" t="s">
        <v>43</v>
      </c>
      <c r="C21" s="94" t="s">
        <v>17</v>
      </c>
      <c r="D21" s="94"/>
      <c r="E21" s="97">
        <v>5786</v>
      </c>
      <c r="F21" s="94">
        <v>4</v>
      </c>
      <c r="G21" s="94" t="s">
        <v>44</v>
      </c>
      <c r="H21" s="94" t="s">
        <v>45</v>
      </c>
      <c r="I21" s="94" t="s">
        <v>46</v>
      </c>
      <c r="J21" s="94" t="s">
        <v>47</v>
      </c>
      <c r="K21" s="6" t="s">
        <v>48</v>
      </c>
    </row>
    <row r="22" spans="1:11" ht="24" customHeight="1" x14ac:dyDescent="0.25">
      <c r="A22" s="95"/>
      <c r="B22" s="95"/>
      <c r="C22" s="95"/>
      <c r="D22" s="95"/>
      <c r="E22" s="98"/>
      <c r="F22" s="95"/>
      <c r="G22" s="95"/>
      <c r="H22" s="95"/>
      <c r="I22" s="95"/>
      <c r="J22" s="95"/>
      <c r="K22" s="7"/>
    </row>
    <row r="23" spans="1:11" ht="30" customHeight="1" x14ac:dyDescent="0.25">
      <c r="A23" s="96"/>
      <c r="B23" s="96"/>
      <c r="C23" s="96"/>
      <c r="D23" s="96"/>
      <c r="E23" s="99"/>
      <c r="F23" s="96"/>
      <c r="G23" s="96"/>
      <c r="H23" s="96"/>
      <c r="I23" s="96"/>
      <c r="J23" s="96"/>
      <c r="K23" s="9" t="s">
        <v>49</v>
      </c>
    </row>
    <row r="24" spans="1:11" ht="17.100000000000001" customHeight="1" x14ac:dyDescent="0.25">
      <c r="A24" s="94">
        <v>109</v>
      </c>
      <c r="B24" s="94" t="s">
        <v>50</v>
      </c>
      <c r="C24" s="94" t="s">
        <v>17</v>
      </c>
      <c r="D24" s="94"/>
      <c r="E24" s="97">
        <v>32000</v>
      </c>
      <c r="F24" s="94">
        <v>4</v>
      </c>
      <c r="G24" s="94" t="s">
        <v>51</v>
      </c>
      <c r="H24" s="94" t="s">
        <v>52</v>
      </c>
      <c r="I24" s="94" t="s">
        <v>53</v>
      </c>
      <c r="J24" s="94" t="s">
        <v>54</v>
      </c>
      <c r="K24" s="94" t="s">
        <v>55</v>
      </c>
    </row>
    <row r="25" spans="1:11" ht="17.100000000000001" customHeight="1" x14ac:dyDescent="0.25">
      <c r="A25" s="95"/>
      <c r="B25" s="95"/>
      <c r="C25" s="95"/>
      <c r="D25" s="95"/>
      <c r="E25" s="98"/>
      <c r="F25" s="95"/>
      <c r="G25" s="95"/>
      <c r="H25" s="95"/>
      <c r="I25" s="95"/>
      <c r="J25" s="95"/>
      <c r="K25" s="95"/>
    </row>
    <row r="26" spans="1:11" ht="17.100000000000001" customHeight="1" x14ac:dyDescent="0.25">
      <c r="A26" s="96"/>
      <c r="B26" s="96"/>
      <c r="C26" s="96"/>
      <c r="D26" s="96"/>
      <c r="E26" s="99"/>
      <c r="F26" s="96"/>
      <c r="G26" s="96"/>
      <c r="H26" s="96"/>
      <c r="I26" s="96"/>
      <c r="J26" s="96"/>
      <c r="K26" s="96"/>
    </row>
    <row r="27" spans="1:11" ht="28.5" customHeight="1" x14ac:dyDescent="0.25">
      <c r="A27" s="94">
        <v>109</v>
      </c>
      <c r="B27" s="94" t="s">
        <v>56</v>
      </c>
      <c r="C27" s="94" t="s">
        <v>17</v>
      </c>
      <c r="D27" s="94"/>
      <c r="E27" s="97">
        <v>12000</v>
      </c>
      <c r="F27" s="94">
        <v>4</v>
      </c>
      <c r="G27" s="94" t="s">
        <v>57</v>
      </c>
      <c r="H27" s="94" t="s">
        <v>58</v>
      </c>
      <c r="I27" s="94" t="s">
        <v>59</v>
      </c>
      <c r="J27" s="94" t="s">
        <v>60</v>
      </c>
      <c r="K27" s="6" t="s">
        <v>61</v>
      </c>
    </row>
    <row r="28" spans="1:11" ht="12" customHeight="1" x14ac:dyDescent="0.25">
      <c r="A28" s="95"/>
      <c r="B28" s="95"/>
      <c r="C28" s="95"/>
      <c r="D28" s="95"/>
      <c r="E28" s="98"/>
      <c r="F28" s="95"/>
      <c r="G28" s="95"/>
      <c r="H28" s="95"/>
      <c r="I28" s="95"/>
      <c r="J28" s="95"/>
      <c r="K28" s="7"/>
    </row>
    <row r="29" spans="1:11" ht="39.75" customHeight="1" x14ac:dyDescent="0.25">
      <c r="A29" s="96"/>
      <c r="B29" s="96"/>
      <c r="C29" s="96"/>
      <c r="D29" s="96"/>
      <c r="E29" s="99"/>
      <c r="F29" s="96"/>
      <c r="G29" s="96"/>
      <c r="H29" s="96"/>
      <c r="I29" s="96"/>
      <c r="J29" s="96"/>
      <c r="K29" s="9" t="s">
        <v>62</v>
      </c>
    </row>
    <row r="30" spans="1:11" ht="17.100000000000001" customHeight="1" x14ac:dyDescent="0.25">
      <c r="A30" s="94">
        <v>109</v>
      </c>
      <c r="B30" s="94" t="s">
        <v>63</v>
      </c>
      <c r="C30" s="94" t="s">
        <v>17</v>
      </c>
      <c r="D30" s="94"/>
      <c r="E30" s="97">
        <v>25000</v>
      </c>
      <c r="F30" s="94">
        <v>4</v>
      </c>
      <c r="G30" s="94" t="s">
        <v>63</v>
      </c>
      <c r="H30" s="94" t="s">
        <v>52</v>
      </c>
      <c r="I30" s="94" t="s">
        <v>64</v>
      </c>
      <c r="J30" s="94" t="s">
        <v>54</v>
      </c>
      <c r="K30" s="94" t="s">
        <v>55</v>
      </c>
    </row>
    <row r="31" spans="1:11" ht="17.100000000000001" customHeight="1" x14ac:dyDescent="0.25">
      <c r="A31" s="95"/>
      <c r="B31" s="95"/>
      <c r="C31" s="95"/>
      <c r="D31" s="95"/>
      <c r="E31" s="98"/>
      <c r="F31" s="95"/>
      <c r="G31" s="95"/>
      <c r="H31" s="95"/>
      <c r="I31" s="95"/>
      <c r="J31" s="95"/>
      <c r="K31" s="95"/>
    </row>
    <row r="32" spans="1:11" ht="17.100000000000001" customHeight="1" x14ac:dyDescent="0.25">
      <c r="A32" s="96"/>
      <c r="B32" s="96"/>
      <c r="C32" s="96"/>
      <c r="D32" s="96"/>
      <c r="E32" s="99"/>
      <c r="F32" s="96"/>
      <c r="G32" s="96"/>
      <c r="H32" s="96"/>
      <c r="I32" s="96"/>
      <c r="J32" s="96"/>
      <c r="K32" s="96"/>
    </row>
    <row r="33" spans="1:11" ht="17.100000000000001" customHeight="1" x14ac:dyDescent="0.25">
      <c r="A33" s="94">
        <v>109</v>
      </c>
      <c r="B33" s="94" t="s">
        <v>65</v>
      </c>
      <c r="C33" s="94" t="s">
        <v>17</v>
      </c>
      <c r="D33" s="94"/>
      <c r="E33" s="97">
        <v>10540</v>
      </c>
      <c r="F33" s="94">
        <v>4</v>
      </c>
      <c r="G33" s="94" t="s">
        <v>65</v>
      </c>
      <c r="H33" s="94" t="s">
        <v>66</v>
      </c>
      <c r="I33" s="94" t="s">
        <v>64</v>
      </c>
      <c r="J33" s="94" t="s">
        <v>67</v>
      </c>
      <c r="K33" s="94" t="s">
        <v>68</v>
      </c>
    </row>
    <row r="34" spans="1:11" ht="17.100000000000001" customHeight="1" x14ac:dyDescent="0.25">
      <c r="A34" s="95"/>
      <c r="B34" s="95"/>
      <c r="C34" s="95"/>
      <c r="D34" s="95"/>
      <c r="E34" s="98"/>
      <c r="F34" s="95"/>
      <c r="G34" s="95"/>
      <c r="H34" s="95"/>
      <c r="I34" s="95"/>
      <c r="J34" s="95"/>
      <c r="K34" s="95"/>
    </row>
    <row r="35" spans="1:11" ht="17.100000000000001" customHeight="1" x14ac:dyDescent="0.25">
      <c r="A35" s="96"/>
      <c r="B35" s="96"/>
      <c r="C35" s="96"/>
      <c r="D35" s="96"/>
      <c r="E35" s="99"/>
      <c r="F35" s="96"/>
      <c r="G35" s="96"/>
      <c r="H35" s="96"/>
      <c r="I35" s="96"/>
      <c r="J35" s="96"/>
      <c r="K35" s="96"/>
    </row>
    <row r="36" spans="1:11" ht="21.95" customHeight="1" x14ac:dyDescent="0.25">
      <c r="A36" s="101">
        <v>108</v>
      </c>
      <c r="B36" s="101" t="s">
        <v>69</v>
      </c>
      <c r="C36" s="101" t="s">
        <v>17</v>
      </c>
      <c r="D36" s="101"/>
      <c r="E36" s="97">
        <v>-9297</v>
      </c>
      <c r="F36" s="101">
        <v>4</v>
      </c>
      <c r="G36" s="101" t="s">
        <v>70</v>
      </c>
      <c r="H36" s="101" t="s">
        <v>71</v>
      </c>
      <c r="I36" s="101" t="s">
        <v>29</v>
      </c>
      <c r="J36" s="101" t="s">
        <v>30</v>
      </c>
      <c r="K36" s="6" t="s">
        <v>72</v>
      </c>
    </row>
    <row r="37" spans="1:11" ht="21.95" customHeight="1" x14ac:dyDescent="0.25">
      <c r="A37" s="102"/>
      <c r="B37" s="102"/>
      <c r="C37" s="102"/>
      <c r="D37" s="102"/>
      <c r="E37" s="98"/>
      <c r="F37" s="102"/>
      <c r="G37" s="102"/>
      <c r="H37" s="102"/>
      <c r="I37" s="102"/>
      <c r="J37" s="102"/>
      <c r="K37" s="10"/>
    </row>
    <row r="38" spans="1:11" ht="21.95" customHeight="1" x14ac:dyDescent="0.25">
      <c r="A38" s="103"/>
      <c r="B38" s="103"/>
      <c r="C38" s="103"/>
      <c r="D38" s="103"/>
      <c r="E38" s="99"/>
      <c r="F38" s="103"/>
      <c r="G38" s="103"/>
      <c r="H38" s="103"/>
      <c r="I38" s="103"/>
      <c r="J38" s="103"/>
      <c r="K38" s="11" t="s">
        <v>73</v>
      </c>
    </row>
    <row r="39" spans="1:11" ht="17.100000000000001" customHeight="1" x14ac:dyDescent="0.25">
      <c r="A39" s="94">
        <v>108</v>
      </c>
      <c r="B39" s="94" t="s">
        <v>74</v>
      </c>
      <c r="C39" s="94" t="s">
        <v>17</v>
      </c>
      <c r="D39" s="94"/>
      <c r="E39" s="97">
        <v>26099</v>
      </c>
      <c r="F39" s="94">
        <v>4</v>
      </c>
      <c r="G39" s="94" t="s">
        <v>75</v>
      </c>
      <c r="H39" s="94" t="s">
        <v>76</v>
      </c>
      <c r="I39" s="94" t="s">
        <v>77</v>
      </c>
      <c r="J39" s="94" t="s">
        <v>78</v>
      </c>
      <c r="K39" s="6" t="str">
        <f>"00054311"</f>
        <v>00054311</v>
      </c>
    </row>
    <row r="40" spans="1:11" ht="17.100000000000001" customHeight="1" x14ac:dyDescent="0.25">
      <c r="A40" s="95"/>
      <c r="B40" s="95"/>
      <c r="C40" s="95"/>
      <c r="D40" s="95"/>
      <c r="E40" s="98"/>
      <c r="F40" s="95"/>
      <c r="G40" s="95"/>
      <c r="H40" s="95"/>
      <c r="I40" s="95"/>
      <c r="J40" s="95"/>
      <c r="K40" s="7"/>
    </row>
    <row r="41" spans="1:11" ht="17.100000000000001" customHeight="1" x14ac:dyDescent="0.25">
      <c r="A41" s="96"/>
      <c r="B41" s="96"/>
      <c r="C41" s="96"/>
      <c r="D41" s="96"/>
      <c r="E41" s="99"/>
      <c r="F41" s="96"/>
      <c r="G41" s="96"/>
      <c r="H41" s="96"/>
      <c r="I41" s="96"/>
      <c r="J41" s="96"/>
      <c r="K41" s="9" t="s">
        <v>79</v>
      </c>
    </row>
    <row r="42" spans="1:11" ht="30" customHeight="1" x14ac:dyDescent="0.25">
      <c r="A42" s="3">
        <v>109</v>
      </c>
      <c r="B42" s="3" t="s">
        <v>16</v>
      </c>
      <c r="C42" s="3" t="s">
        <v>17</v>
      </c>
      <c r="D42" s="4">
        <v>50000</v>
      </c>
      <c r="E42" s="3"/>
      <c r="F42" s="3">
        <v>4</v>
      </c>
      <c r="G42" s="3" t="s">
        <v>80</v>
      </c>
      <c r="H42" s="3"/>
      <c r="I42" s="3" t="s">
        <v>19</v>
      </c>
      <c r="J42" s="3"/>
      <c r="K42" s="5" t="s">
        <v>20</v>
      </c>
    </row>
    <row r="43" spans="1:11" ht="30" customHeight="1" x14ac:dyDescent="0.25">
      <c r="A43" s="3">
        <v>109</v>
      </c>
      <c r="B43" s="3" t="s">
        <v>16</v>
      </c>
      <c r="C43" s="3" t="s">
        <v>17</v>
      </c>
      <c r="D43" s="4">
        <v>70000</v>
      </c>
      <c r="E43" s="3"/>
      <c r="F43" s="3">
        <v>4</v>
      </c>
      <c r="G43" s="3" t="s">
        <v>81</v>
      </c>
      <c r="H43" s="3"/>
      <c r="I43" s="3" t="s">
        <v>19</v>
      </c>
      <c r="J43" s="3"/>
      <c r="K43" s="5" t="s">
        <v>20</v>
      </c>
    </row>
    <row r="44" spans="1:11" ht="30" customHeight="1" x14ac:dyDescent="0.25">
      <c r="A44" s="3">
        <v>109</v>
      </c>
      <c r="B44" s="3" t="s">
        <v>16</v>
      </c>
      <c r="C44" s="3" t="s">
        <v>17</v>
      </c>
      <c r="D44" s="4">
        <v>177000</v>
      </c>
      <c r="E44" s="3"/>
      <c r="F44" s="3">
        <v>4</v>
      </c>
      <c r="G44" s="3" t="s">
        <v>18</v>
      </c>
      <c r="H44" s="3"/>
      <c r="I44" s="3" t="s">
        <v>19</v>
      </c>
      <c r="J44" s="3"/>
      <c r="K44" s="5" t="s">
        <v>20</v>
      </c>
    </row>
    <row r="45" spans="1:11" ht="30" customHeight="1" x14ac:dyDescent="0.25">
      <c r="A45" s="3">
        <v>109</v>
      </c>
      <c r="B45" s="3" t="s">
        <v>21</v>
      </c>
      <c r="C45" s="3" t="s">
        <v>17</v>
      </c>
      <c r="D45" s="4">
        <v>150000</v>
      </c>
      <c r="E45" s="3"/>
      <c r="F45" s="3">
        <v>4</v>
      </c>
      <c r="G45" s="3" t="s">
        <v>82</v>
      </c>
      <c r="H45" s="3"/>
      <c r="I45" s="3" t="s">
        <v>19</v>
      </c>
      <c r="J45" s="3"/>
      <c r="K45" s="5" t="s">
        <v>20</v>
      </c>
    </row>
    <row r="46" spans="1:11" ht="30" customHeight="1" x14ac:dyDescent="0.25">
      <c r="A46" s="3">
        <v>109</v>
      </c>
      <c r="B46" s="3" t="s">
        <v>21</v>
      </c>
      <c r="C46" s="3" t="s">
        <v>17</v>
      </c>
      <c r="D46" s="4">
        <v>90000</v>
      </c>
      <c r="E46" s="3"/>
      <c r="F46" s="3">
        <v>4</v>
      </c>
      <c r="G46" s="3" t="s">
        <v>83</v>
      </c>
      <c r="H46" s="3"/>
      <c r="I46" s="3" t="s">
        <v>19</v>
      </c>
      <c r="J46" s="3"/>
      <c r="K46" s="5" t="s">
        <v>20</v>
      </c>
    </row>
    <row r="47" spans="1:11" ht="27" customHeight="1" x14ac:dyDescent="0.25">
      <c r="A47" s="3">
        <v>109</v>
      </c>
      <c r="B47" s="3" t="s">
        <v>21</v>
      </c>
      <c r="C47" s="3" t="s">
        <v>17</v>
      </c>
      <c r="D47" s="4">
        <v>100000</v>
      </c>
      <c r="E47" s="3"/>
      <c r="F47" s="3">
        <v>4</v>
      </c>
      <c r="G47" s="3" t="s">
        <v>22</v>
      </c>
      <c r="H47" s="3"/>
      <c r="I47" s="3" t="s">
        <v>19</v>
      </c>
      <c r="J47" s="3"/>
      <c r="K47" s="3"/>
    </row>
    <row r="48" spans="1:11" ht="21.95" customHeight="1" x14ac:dyDescent="0.25">
      <c r="A48" s="94">
        <v>109</v>
      </c>
      <c r="B48" s="94" t="s">
        <v>84</v>
      </c>
      <c r="C48" s="94" t="s">
        <v>17</v>
      </c>
      <c r="D48" s="94"/>
      <c r="E48" s="97">
        <v>45247</v>
      </c>
      <c r="F48" s="94">
        <v>4</v>
      </c>
      <c r="G48" s="94" t="s">
        <v>85</v>
      </c>
      <c r="H48" s="94" t="s">
        <v>86</v>
      </c>
      <c r="I48" s="94" t="s">
        <v>59</v>
      </c>
      <c r="J48" s="94" t="s">
        <v>60</v>
      </c>
      <c r="K48" s="94" t="s">
        <v>87</v>
      </c>
    </row>
    <row r="49" spans="1:11" ht="21.95" customHeight="1" x14ac:dyDescent="0.25">
      <c r="A49" s="95"/>
      <c r="B49" s="95"/>
      <c r="C49" s="95"/>
      <c r="D49" s="95"/>
      <c r="E49" s="98"/>
      <c r="F49" s="95"/>
      <c r="G49" s="95"/>
      <c r="H49" s="95"/>
      <c r="I49" s="95"/>
      <c r="J49" s="95"/>
      <c r="K49" s="95"/>
    </row>
    <row r="50" spans="1:11" ht="21.95" customHeight="1" x14ac:dyDescent="0.25">
      <c r="A50" s="96"/>
      <c r="B50" s="96"/>
      <c r="C50" s="96"/>
      <c r="D50" s="96"/>
      <c r="E50" s="99"/>
      <c r="F50" s="96"/>
      <c r="G50" s="96"/>
      <c r="H50" s="96"/>
      <c r="I50" s="96"/>
      <c r="J50" s="96"/>
      <c r="K50" s="96"/>
    </row>
    <row r="51" spans="1:11" ht="17.100000000000001" customHeight="1" x14ac:dyDescent="0.25">
      <c r="A51" s="94">
        <v>109</v>
      </c>
      <c r="B51" s="94" t="s">
        <v>84</v>
      </c>
      <c r="C51" s="94" t="s">
        <v>17</v>
      </c>
      <c r="D51" s="94"/>
      <c r="E51" s="97">
        <v>49060</v>
      </c>
      <c r="F51" s="94">
        <v>4</v>
      </c>
      <c r="G51" s="94" t="s">
        <v>85</v>
      </c>
      <c r="H51" s="94" t="s">
        <v>88</v>
      </c>
      <c r="I51" s="94" t="s">
        <v>59</v>
      </c>
      <c r="J51" s="94" t="s">
        <v>60</v>
      </c>
      <c r="K51" s="94" t="s">
        <v>89</v>
      </c>
    </row>
    <row r="52" spans="1:11" ht="17.100000000000001" customHeight="1" x14ac:dyDescent="0.25">
      <c r="A52" s="95"/>
      <c r="B52" s="95"/>
      <c r="C52" s="95"/>
      <c r="D52" s="95"/>
      <c r="E52" s="98"/>
      <c r="F52" s="95"/>
      <c r="G52" s="95"/>
      <c r="H52" s="95"/>
      <c r="I52" s="95"/>
      <c r="J52" s="95"/>
      <c r="K52" s="95"/>
    </row>
    <row r="53" spans="1:11" ht="17.100000000000001" customHeight="1" x14ac:dyDescent="0.25">
      <c r="A53" s="96"/>
      <c r="B53" s="96"/>
      <c r="C53" s="96"/>
      <c r="D53" s="96"/>
      <c r="E53" s="99"/>
      <c r="F53" s="96"/>
      <c r="G53" s="96"/>
      <c r="H53" s="96"/>
      <c r="I53" s="96"/>
      <c r="J53" s="96"/>
      <c r="K53" s="96"/>
    </row>
    <row r="54" spans="1:11" ht="30" customHeight="1" x14ac:dyDescent="0.25">
      <c r="A54" s="3">
        <v>109</v>
      </c>
      <c r="B54" s="3" t="s">
        <v>21</v>
      </c>
      <c r="C54" s="3" t="s">
        <v>17</v>
      </c>
      <c r="D54" s="4">
        <v>100000</v>
      </c>
      <c r="E54" s="3"/>
      <c r="F54" s="3">
        <v>4</v>
      </c>
      <c r="G54" s="3" t="s">
        <v>22</v>
      </c>
      <c r="H54" s="3"/>
      <c r="I54" s="3" t="s">
        <v>19</v>
      </c>
      <c r="J54" s="3"/>
      <c r="K54" s="5" t="s">
        <v>20</v>
      </c>
    </row>
    <row r="55" spans="1:11" ht="30" customHeight="1" x14ac:dyDescent="0.25">
      <c r="A55" s="3">
        <v>109</v>
      </c>
      <c r="B55" s="3" t="s">
        <v>21</v>
      </c>
      <c r="C55" s="3" t="s">
        <v>17</v>
      </c>
      <c r="D55" s="4">
        <v>78000</v>
      </c>
      <c r="E55" s="3"/>
      <c r="F55" s="3">
        <v>4</v>
      </c>
      <c r="G55" s="3" t="s">
        <v>90</v>
      </c>
      <c r="H55" s="3"/>
      <c r="I55" s="3" t="s">
        <v>19</v>
      </c>
      <c r="J55" s="3"/>
      <c r="K55" s="5" t="s">
        <v>20</v>
      </c>
    </row>
    <row r="56" spans="1:11" ht="15" customHeight="1" x14ac:dyDescent="0.25">
      <c r="A56" s="91" t="s">
        <v>91</v>
      </c>
      <c r="B56" s="93"/>
      <c r="K56" s="2"/>
    </row>
    <row r="57" spans="1:11" ht="27" customHeight="1" x14ac:dyDescent="0.25">
      <c r="A57" s="3">
        <v>109</v>
      </c>
      <c r="B57" s="3" t="s">
        <v>16</v>
      </c>
      <c r="C57" s="3" t="s">
        <v>17</v>
      </c>
      <c r="D57" s="4">
        <v>3914000</v>
      </c>
      <c r="E57" s="3"/>
      <c r="F57" s="3">
        <v>7</v>
      </c>
      <c r="G57" s="3" t="s">
        <v>24</v>
      </c>
      <c r="H57" s="3"/>
      <c r="I57" s="3" t="s">
        <v>19</v>
      </c>
      <c r="J57" s="3"/>
      <c r="K57" s="3" t="s">
        <v>25</v>
      </c>
    </row>
    <row r="58" spans="1:11" ht="22.5" customHeight="1" x14ac:dyDescent="0.25">
      <c r="A58" s="94">
        <v>109</v>
      </c>
      <c r="B58" s="94" t="s">
        <v>92</v>
      </c>
      <c r="C58" s="94" t="s">
        <v>17</v>
      </c>
      <c r="D58" s="94"/>
      <c r="E58" s="97">
        <v>27751</v>
      </c>
      <c r="F58" s="94">
        <v>7</v>
      </c>
      <c r="G58" s="94" t="s">
        <v>93</v>
      </c>
      <c r="H58" s="94" t="s">
        <v>94</v>
      </c>
      <c r="I58" s="94" t="s">
        <v>95</v>
      </c>
      <c r="J58" s="94" t="s">
        <v>67</v>
      </c>
      <c r="K58" s="94" t="s">
        <v>96</v>
      </c>
    </row>
    <row r="59" spans="1:11" ht="22.5" customHeight="1" x14ac:dyDescent="0.25">
      <c r="A59" s="95"/>
      <c r="B59" s="95"/>
      <c r="C59" s="95"/>
      <c r="D59" s="95"/>
      <c r="E59" s="98"/>
      <c r="F59" s="95"/>
      <c r="G59" s="95"/>
      <c r="H59" s="95"/>
      <c r="I59" s="95"/>
      <c r="J59" s="95"/>
      <c r="K59" s="95"/>
    </row>
    <row r="60" spans="1:11" ht="22.5" customHeight="1" x14ac:dyDescent="0.25">
      <c r="A60" s="96"/>
      <c r="B60" s="96"/>
      <c r="C60" s="96"/>
      <c r="D60" s="96"/>
      <c r="E60" s="99"/>
      <c r="F60" s="96"/>
      <c r="G60" s="96"/>
      <c r="H60" s="96"/>
      <c r="I60" s="96"/>
      <c r="J60" s="96"/>
      <c r="K60" s="96"/>
    </row>
    <row r="61" spans="1:11" ht="22.5" customHeight="1" x14ac:dyDescent="0.25">
      <c r="A61" s="94">
        <v>109</v>
      </c>
      <c r="B61" s="94" t="s">
        <v>92</v>
      </c>
      <c r="C61" s="94" t="s">
        <v>17</v>
      </c>
      <c r="D61" s="94"/>
      <c r="E61" s="97">
        <v>26051</v>
      </c>
      <c r="F61" s="94">
        <v>7</v>
      </c>
      <c r="G61" s="94" t="s">
        <v>93</v>
      </c>
      <c r="H61" s="94" t="s">
        <v>94</v>
      </c>
      <c r="I61" s="94" t="s">
        <v>95</v>
      </c>
      <c r="J61" s="94" t="s">
        <v>67</v>
      </c>
      <c r="K61" s="94" t="s">
        <v>97</v>
      </c>
    </row>
    <row r="62" spans="1:11" ht="22.5" customHeight="1" x14ac:dyDescent="0.25">
      <c r="A62" s="95"/>
      <c r="B62" s="95"/>
      <c r="C62" s="95"/>
      <c r="D62" s="95"/>
      <c r="E62" s="98"/>
      <c r="F62" s="95"/>
      <c r="G62" s="95"/>
      <c r="H62" s="95"/>
      <c r="I62" s="95"/>
      <c r="J62" s="95"/>
      <c r="K62" s="95"/>
    </row>
    <row r="63" spans="1:11" ht="22.5" customHeight="1" x14ac:dyDescent="0.25">
      <c r="A63" s="96"/>
      <c r="B63" s="96"/>
      <c r="C63" s="96"/>
      <c r="D63" s="96"/>
      <c r="E63" s="99"/>
      <c r="F63" s="96"/>
      <c r="G63" s="96"/>
      <c r="H63" s="96"/>
      <c r="I63" s="96"/>
      <c r="J63" s="96"/>
      <c r="K63" s="96"/>
    </row>
    <row r="64" spans="1:11" ht="24" customHeight="1" x14ac:dyDescent="0.25">
      <c r="A64" s="94">
        <v>109</v>
      </c>
      <c r="B64" s="94" t="s">
        <v>98</v>
      </c>
      <c r="C64" s="94" t="s">
        <v>17</v>
      </c>
      <c r="D64" s="94"/>
      <c r="E64" s="97">
        <v>60350</v>
      </c>
      <c r="F64" s="94">
        <v>7</v>
      </c>
      <c r="G64" s="100" t="s">
        <v>99</v>
      </c>
      <c r="H64" s="94" t="s">
        <v>100</v>
      </c>
      <c r="I64" s="94" t="s">
        <v>101</v>
      </c>
      <c r="J64" s="94" t="s">
        <v>102</v>
      </c>
      <c r="K64" s="94" t="s">
        <v>103</v>
      </c>
    </row>
    <row r="65" spans="1:11" ht="24" customHeight="1" x14ac:dyDescent="0.25">
      <c r="A65" s="95"/>
      <c r="B65" s="95"/>
      <c r="C65" s="95"/>
      <c r="D65" s="95"/>
      <c r="E65" s="98"/>
      <c r="F65" s="95"/>
      <c r="G65" s="95"/>
      <c r="H65" s="95"/>
      <c r="I65" s="95"/>
      <c r="J65" s="95"/>
      <c r="K65" s="95"/>
    </row>
    <row r="66" spans="1:11" ht="24" customHeight="1" x14ac:dyDescent="0.25">
      <c r="A66" s="96"/>
      <c r="B66" s="96"/>
      <c r="C66" s="96"/>
      <c r="D66" s="96"/>
      <c r="E66" s="99"/>
      <c r="F66" s="96"/>
      <c r="G66" s="96"/>
      <c r="H66" s="96"/>
      <c r="I66" s="96"/>
      <c r="J66" s="96"/>
      <c r="K66" s="96"/>
    </row>
    <row r="67" spans="1:11" ht="18" customHeight="1" x14ac:dyDescent="0.25">
      <c r="A67" s="94">
        <v>109</v>
      </c>
      <c r="B67" s="94" t="s">
        <v>104</v>
      </c>
      <c r="C67" s="94" t="s">
        <v>17</v>
      </c>
      <c r="D67" s="94"/>
      <c r="E67" s="97">
        <v>47778</v>
      </c>
      <c r="F67" s="94">
        <v>7</v>
      </c>
      <c r="G67" s="100" t="s">
        <v>105</v>
      </c>
      <c r="H67" s="94" t="s">
        <v>106</v>
      </c>
      <c r="I67" s="94" t="s">
        <v>36</v>
      </c>
      <c r="J67" s="94" t="s">
        <v>37</v>
      </c>
      <c r="K67" s="6" t="s">
        <v>107</v>
      </c>
    </row>
    <row r="68" spans="1:11" ht="30" customHeight="1" x14ac:dyDescent="0.25">
      <c r="A68" s="95"/>
      <c r="B68" s="95"/>
      <c r="C68" s="95"/>
      <c r="D68" s="95"/>
      <c r="E68" s="98"/>
      <c r="F68" s="95"/>
      <c r="G68" s="95"/>
      <c r="H68" s="95"/>
      <c r="I68" s="95"/>
      <c r="J68" s="95"/>
      <c r="K68" s="7" t="s">
        <v>108</v>
      </c>
    </row>
    <row r="69" spans="1:11" ht="30" customHeight="1" x14ac:dyDescent="0.25">
      <c r="A69" s="95"/>
      <c r="B69" s="95"/>
      <c r="C69" s="95"/>
      <c r="D69" s="95"/>
      <c r="E69" s="98"/>
      <c r="F69" s="95"/>
      <c r="G69" s="95"/>
      <c r="H69" s="95"/>
      <c r="I69" s="95"/>
      <c r="J69" s="95"/>
      <c r="K69" s="7" t="s">
        <v>109</v>
      </c>
    </row>
    <row r="70" spans="1:11" ht="24.75" customHeight="1" x14ac:dyDescent="0.25">
      <c r="A70" s="94">
        <v>109</v>
      </c>
      <c r="B70" s="94" t="s">
        <v>110</v>
      </c>
      <c r="C70" s="94" t="s">
        <v>17</v>
      </c>
      <c r="D70" s="94"/>
      <c r="E70" s="97">
        <v>110447</v>
      </c>
      <c r="F70" s="94">
        <v>7</v>
      </c>
      <c r="G70" s="94" t="s">
        <v>111</v>
      </c>
      <c r="H70" s="94" t="s">
        <v>112</v>
      </c>
      <c r="I70" s="94" t="s">
        <v>113</v>
      </c>
      <c r="J70" s="94" t="s">
        <v>114</v>
      </c>
      <c r="K70" s="94" t="s">
        <v>115</v>
      </c>
    </row>
    <row r="71" spans="1:11" ht="24.75" customHeight="1" x14ac:dyDescent="0.25">
      <c r="A71" s="95"/>
      <c r="B71" s="95"/>
      <c r="C71" s="95"/>
      <c r="D71" s="95"/>
      <c r="E71" s="98"/>
      <c r="F71" s="95"/>
      <c r="G71" s="95"/>
      <c r="H71" s="95"/>
      <c r="I71" s="95"/>
      <c r="J71" s="95"/>
      <c r="K71" s="95"/>
    </row>
    <row r="72" spans="1:11" ht="24.75" customHeight="1" x14ac:dyDescent="0.25">
      <c r="A72" s="96"/>
      <c r="B72" s="96"/>
      <c r="C72" s="96"/>
      <c r="D72" s="96"/>
      <c r="E72" s="99"/>
      <c r="F72" s="96"/>
      <c r="G72" s="96"/>
      <c r="H72" s="96"/>
      <c r="I72" s="96"/>
      <c r="J72" s="96"/>
      <c r="K72" s="96"/>
    </row>
    <row r="73" spans="1:11" ht="18" customHeight="1" x14ac:dyDescent="0.25">
      <c r="A73" s="94">
        <v>109</v>
      </c>
      <c r="B73" s="94" t="s">
        <v>116</v>
      </c>
      <c r="C73" s="94" t="s">
        <v>17</v>
      </c>
      <c r="D73" s="94"/>
      <c r="E73" s="97">
        <v>66106</v>
      </c>
      <c r="F73" s="94">
        <v>7</v>
      </c>
      <c r="G73" s="94" t="s">
        <v>117</v>
      </c>
      <c r="H73" s="94" t="s">
        <v>118</v>
      </c>
      <c r="I73" s="94" t="s">
        <v>29</v>
      </c>
      <c r="J73" s="94" t="s">
        <v>30</v>
      </c>
      <c r="K73" s="94" t="s">
        <v>119</v>
      </c>
    </row>
    <row r="74" spans="1:11" ht="18" customHeight="1" x14ac:dyDescent="0.25">
      <c r="A74" s="95"/>
      <c r="B74" s="95"/>
      <c r="C74" s="95"/>
      <c r="D74" s="95"/>
      <c r="E74" s="98"/>
      <c r="F74" s="95"/>
      <c r="G74" s="95"/>
      <c r="H74" s="95"/>
      <c r="I74" s="95"/>
      <c r="J74" s="95"/>
      <c r="K74" s="95"/>
    </row>
    <row r="75" spans="1:11" ht="18" customHeight="1" x14ac:dyDescent="0.25">
      <c r="A75" s="96"/>
      <c r="B75" s="96"/>
      <c r="C75" s="96"/>
      <c r="D75" s="96"/>
      <c r="E75" s="99"/>
      <c r="F75" s="96"/>
      <c r="G75" s="96"/>
      <c r="H75" s="96"/>
      <c r="I75" s="96"/>
      <c r="J75" s="96"/>
      <c r="K75" s="96"/>
    </row>
    <row r="76" spans="1:11" ht="17.100000000000001" customHeight="1" x14ac:dyDescent="0.25">
      <c r="A76" s="94">
        <v>109</v>
      </c>
      <c r="B76" s="94" t="s">
        <v>120</v>
      </c>
      <c r="C76" s="94" t="s">
        <v>17</v>
      </c>
      <c r="D76" s="94"/>
      <c r="E76" s="97">
        <v>65758</v>
      </c>
      <c r="F76" s="94">
        <v>7</v>
      </c>
      <c r="G76" s="94" t="s">
        <v>120</v>
      </c>
      <c r="H76" s="94" t="s">
        <v>52</v>
      </c>
      <c r="I76" s="94" t="s">
        <v>64</v>
      </c>
      <c r="J76" s="94" t="s">
        <v>30</v>
      </c>
      <c r="K76" s="94" t="s">
        <v>121</v>
      </c>
    </row>
    <row r="77" spans="1:11" ht="17.100000000000001" customHeight="1" x14ac:dyDescent="0.25">
      <c r="A77" s="95"/>
      <c r="B77" s="95"/>
      <c r="C77" s="95"/>
      <c r="D77" s="95"/>
      <c r="E77" s="98"/>
      <c r="F77" s="95"/>
      <c r="G77" s="95"/>
      <c r="H77" s="95"/>
      <c r="I77" s="95"/>
      <c r="J77" s="95"/>
      <c r="K77" s="95"/>
    </row>
    <row r="78" spans="1:11" ht="17.100000000000001" customHeight="1" x14ac:dyDescent="0.25">
      <c r="A78" s="96"/>
      <c r="B78" s="96"/>
      <c r="C78" s="96"/>
      <c r="D78" s="96"/>
      <c r="E78" s="99"/>
      <c r="F78" s="96"/>
      <c r="G78" s="96"/>
      <c r="H78" s="96"/>
      <c r="I78" s="96"/>
      <c r="J78" s="96"/>
      <c r="K78" s="96"/>
    </row>
    <row r="79" spans="1:11" ht="17.100000000000001" customHeight="1" x14ac:dyDescent="0.25">
      <c r="A79" s="94">
        <v>109</v>
      </c>
      <c r="B79" s="94" t="s">
        <v>122</v>
      </c>
      <c r="C79" s="94" t="s">
        <v>17</v>
      </c>
      <c r="D79" s="94"/>
      <c r="E79" s="97">
        <v>26051</v>
      </c>
      <c r="F79" s="94">
        <v>7</v>
      </c>
      <c r="G79" s="94" t="s">
        <v>93</v>
      </c>
      <c r="H79" s="94" t="s">
        <v>94</v>
      </c>
      <c r="I79" s="94" t="s">
        <v>64</v>
      </c>
      <c r="J79" s="94" t="s">
        <v>67</v>
      </c>
      <c r="K79" s="94" t="s">
        <v>123</v>
      </c>
    </row>
    <row r="80" spans="1:11" ht="17.100000000000001" customHeight="1" x14ac:dyDescent="0.25">
      <c r="A80" s="95"/>
      <c r="B80" s="95"/>
      <c r="C80" s="95"/>
      <c r="D80" s="95"/>
      <c r="E80" s="98"/>
      <c r="F80" s="95"/>
      <c r="G80" s="95"/>
      <c r="H80" s="95"/>
      <c r="I80" s="95"/>
      <c r="J80" s="95"/>
      <c r="K80" s="95"/>
    </row>
    <row r="81" spans="1:11" ht="17.100000000000001" customHeight="1" x14ac:dyDescent="0.25">
      <c r="A81" s="96"/>
      <c r="B81" s="96"/>
      <c r="C81" s="96"/>
      <c r="D81" s="96"/>
      <c r="E81" s="99"/>
      <c r="F81" s="96"/>
      <c r="G81" s="96"/>
      <c r="H81" s="96"/>
      <c r="I81" s="96"/>
      <c r="J81" s="96"/>
      <c r="K81" s="96"/>
    </row>
    <row r="82" spans="1:11" ht="15.95" customHeight="1" x14ac:dyDescent="0.25">
      <c r="A82" s="91" t="s">
        <v>124</v>
      </c>
      <c r="B82" s="92"/>
      <c r="C82" s="93"/>
      <c r="D82" s="4">
        <v>8392000</v>
      </c>
      <c r="E82" s="4">
        <f>SUM(E8:E81)</f>
        <v>722547</v>
      </c>
      <c r="F82" s="12"/>
      <c r="G82" s="12"/>
      <c r="H82" s="12"/>
      <c r="I82" s="12"/>
      <c r="J82" s="12"/>
      <c r="K82" s="13"/>
    </row>
  </sheetData>
  <mergeCells count="224">
    <mergeCell ref="B18:B20"/>
    <mergeCell ref="C18:C20"/>
    <mergeCell ref="D18:D20"/>
    <mergeCell ref="E18:E20"/>
    <mergeCell ref="F18:F20"/>
    <mergeCell ref="A1:K1"/>
    <mergeCell ref="A2:K2"/>
    <mergeCell ref="A3:K3"/>
    <mergeCell ref="A5:E5"/>
    <mergeCell ref="F5:F6"/>
    <mergeCell ref="G5:G6"/>
    <mergeCell ref="H5:H6"/>
    <mergeCell ref="I5:J5"/>
    <mergeCell ref="H12:H14"/>
    <mergeCell ref="I12:I14"/>
    <mergeCell ref="J12:J14"/>
    <mergeCell ref="A7:B7"/>
    <mergeCell ref="A10:B10"/>
    <mergeCell ref="A12:A14"/>
    <mergeCell ref="B12:B14"/>
    <mergeCell ref="C12:C14"/>
    <mergeCell ref="D12:D14"/>
    <mergeCell ref="E12:E14"/>
    <mergeCell ref="F12:F14"/>
    <mergeCell ref="G15:G17"/>
    <mergeCell ref="H15:H17"/>
    <mergeCell ref="I15:I17"/>
    <mergeCell ref="J15:J17"/>
    <mergeCell ref="A15:A17"/>
    <mergeCell ref="B15:B17"/>
    <mergeCell ref="C15:C17"/>
    <mergeCell ref="D15:D17"/>
    <mergeCell ref="E15:E17"/>
    <mergeCell ref="F15:F17"/>
    <mergeCell ref="G12:G14"/>
    <mergeCell ref="A21:A23"/>
    <mergeCell ref="B21:B23"/>
    <mergeCell ref="C21:C23"/>
    <mergeCell ref="D21:D23"/>
    <mergeCell ref="E21:E23"/>
    <mergeCell ref="F21:F23"/>
    <mergeCell ref="J18:J20"/>
    <mergeCell ref="A24:A26"/>
    <mergeCell ref="B24:B26"/>
    <mergeCell ref="C24:C26"/>
    <mergeCell ref="D24:D26"/>
    <mergeCell ref="E24:E26"/>
    <mergeCell ref="F24:F26"/>
    <mergeCell ref="G24:G26"/>
    <mergeCell ref="H24:H26"/>
    <mergeCell ref="I24:I26"/>
    <mergeCell ref="G21:G23"/>
    <mergeCell ref="H21:H23"/>
    <mergeCell ref="I21:I23"/>
    <mergeCell ref="J21:J23"/>
    <mergeCell ref="G18:G20"/>
    <mergeCell ref="H18:H20"/>
    <mergeCell ref="I18:I20"/>
    <mergeCell ref="A18:A20"/>
    <mergeCell ref="K24:K26"/>
    <mergeCell ref="A27:A29"/>
    <mergeCell ref="B27:B29"/>
    <mergeCell ref="C27:C29"/>
    <mergeCell ref="D27:D29"/>
    <mergeCell ref="E27:E29"/>
    <mergeCell ref="J24:J26"/>
    <mergeCell ref="A30:A32"/>
    <mergeCell ref="B30:B32"/>
    <mergeCell ref="C30:C32"/>
    <mergeCell ref="D30:D32"/>
    <mergeCell ref="E30:E32"/>
    <mergeCell ref="F30:F32"/>
    <mergeCell ref="G30:G32"/>
    <mergeCell ref="H30:H32"/>
    <mergeCell ref="F27:F29"/>
    <mergeCell ref="G27:G29"/>
    <mergeCell ref="H27:H29"/>
    <mergeCell ref="I27:I29"/>
    <mergeCell ref="J27:J29"/>
    <mergeCell ref="K30:K32"/>
    <mergeCell ref="I30:I32"/>
    <mergeCell ref="J30:J32"/>
    <mergeCell ref="C33:C35"/>
    <mergeCell ref="D33:D35"/>
    <mergeCell ref="E33:E35"/>
    <mergeCell ref="F33:F35"/>
    <mergeCell ref="K33:K35"/>
    <mergeCell ref="A36:A38"/>
    <mergeCell ref="B36:B38"/>
    <mergeCell ref="C36:C38"/>
    <mergeCell ref="D36:D38"/>
    <mergeCell ref="E36:E38"/>
    <mergeCell ref="F36:F38"/>
    <mergeCell ref="G36:G38"/>
    <mergeCell ref="H36:H38"/>
    <mergeCell ref="G33:G35"/>
    <mergeCell ref="H33:H35"/>
    <mergeCell ref="I33:I35"/>
    <mergeCell ref="J33:J35"/>
    <mergeCell ref="A33:A35"/>
    <mergeCell ref="B33:B35"/>
    <mergeCell ref="A56:B56"/>
    <mergeCell ref="I51:I53"/>
    <mergeCell ref="J51:J53"/>
    <mergeCell ref="A39:A41"/>
    <mergeCell ref="B39:B41"/>
    <mergeCell ref="C39:C41"/>
    <mergeCell ref="D39:D41"/>
    <mergeCell ref="E39:E41"/>
    <mergeCell ref="I36:I38"/>
    <mergeCell ref="J36:J38"/>
    <mergeCell ref="A48:A50"/>
    <mergeCell ref="B48:B50"/>
    <mergeCell ref="C48:C50"/>
    <mergeCell ref="D48:D50"/>
    <mergeCell ref="E48:E50"/>
    <mergeCell ref="F48:F50"/>
    <mergeCell ref="G48:G50"/>
    <mergeCell ref="H48:H50"/>
    <mergeCell ref="F39:F41"/>
    <mergeCell ref="G39:G41"/>
    <mergeCell ref="H39:H41"/>
    <mergeCell ref="I39:I41"/>
    <mergeCell ref="J39:J41"/>
    <mergeCell ref="G51:G53"/>
    <mergeCell ref="H51:H53"/>
    <mergeCell ref="A51:A53"/>
    <mergeCell ref="B51:B53"/>
    <mergeCell ref="K48:K50"/>
    <mergeCell ref="I48:I50"/>
    <mergeCell ref="J48:J50"/>
    <mergeCell ref="C51:C53"/>
    <mergeCell ref="D51:D53"/>
    <mergeCell ref="E51:E53"/>
    <mergeCell ref="F51:F53"/>
    <mergeCell ref="K51:K53"/>
    <mergeCell ref="K58:K60"/>
    <mergeCell ref="A61:A63"/>
    <mergeCell ref="B61:B63"/>
    <mergeCell ref="C61:C63"/>
    <mergeCell ref="D61:D63"/>
    <mergeCell ref="E61:E63"/>
    <mergeCell ref="F61:F63"/>
    <mergeCell ref="G61:G63"/>
    <mergeCell ref="H61:H63"/>
    <mergeCell ref="I61:I63"/>
    <mergeCell ref="H58:H60"/>
    <mergeCell ref="I58:I60"/>
    <mergeCell ref="J58:J60"/>
    <mergeCell ref="K61:K63"/>
    <mergeCell ref="A58:A60"/>
    <mergeCell ref="B58:B60"/>
    <mergeCell ref="C58:C60"/>
    <mergeCell ref="D58:D60"/>
    <mergeCell ref="E58:E60"/>
    <mergeCell ref="F58:F60"/>
    <mergeCell ref="G58:G60"/>
    <mergeCell ref="A64:A66"/>
    <mergeCell ref="B64:B66"/>
    <mergeCell ref="C64:C66"/>
    <mergeCell ref="D64:D66"/>
    <mergeCell ref="E64:E66"/>
    <mergeCell ref="J61:J63"/>
    <mergeCell ref="K64:K66"/>
    <mergeCell ref="A67:A69"/>
    <mergeCell ref="B67:B69"/>
    <mergeCell ref="C67:C69"/>
    <mergeCell ref="D67:D69"/>
    <mergeCell ref="E67:E69"/>
    <mergeCell ref="F67:F69"/>
    <mergeCell ref="G67:G69"/>
    <mergeCell ref="F64:F66"/>
    <mergeCell ref="G64:G66"/>
    <mergeCell ref="H64:H66"/>
    <mergeCell ref="I64:I66"/>
    <mergeCell ref="J64:J66"/>
    <mergeCell ref="H67:H69"/>
    <mergeCell ref="I67:I69"/>
    <mergeCell ref="J67:J69"/>
    <mergeCell ref="I70:I72"/>
    <mergeCell ref="J70:J72"/>
    <mergeCell ref="A70:A72"/>
    <mergeCell ref="B70:B72"/>
    <mergeCell ref="C70:C72"/>
    <mergeCell ref="D70:D72"/>
    <mergeCell ref="E70:E72"/>
    <mergeCell ref="F70:F72"/>
    <mergeCell ref="K73:K75"/>
    <mergeCell ref="I73:I75"/>
    <mergeCell ref="J73:J75"/>
    <mergeCell ref="K70:K72"/>
    <mergeCell ref="A73:A75"/>
    <mergeCell ref="B73:B75"/>
    <mergeCell ref="C73:C75"/>
    <mergeCell ref="D73:D75"/>
    <mergeCell ref="E73:E75"/>
    <mergeCell ref="F73:F75"/>
    <mergeCell ref="G73:G75"/>
    <mergeCell ref="H73:H75"/>
    <mergeCell ref="G70:G72"/>
    <mergeCell ref="H70:H72"/>
    <mergeCell ref="A82:C82"/>
    <mergeCell ref="K79:K81"/>
    <mergeCell ref="I79:I81"/>
    <mergeCell ref="J79:J81"/>
    <mergeCell ref="C76:C78"/>
    <mergeCell ref="D76:D78"/>
    <mergeCell ref="E76:E78"/>
    <mergeCell ref="F76:F78"/>
    <mergeCell ref="K76:K78"/>
    <mergeCell ref="A79:A81"/>
    <mergeCell ref="B79:B81"/>
    <mergeCell ref="C79:C81"/>
    <mergeCell ref="D79:D81"/>
    <mergeCell ref="E79:E81"/>
    <mergeCell ref="F79:F81"/>
    <mergeCell ref="G79:G81"/>
    <mergeCell ref="H79:H81"/>
    <mergeCell ref="G76:G78"/>
    <mergeCell ref="H76:H78"/>
    <mergeCell ref="I76:I78"/>
    <mergeCell ref="J76:J78"/>
    <mergeCell ref="A76:A78"/>
    <mergeCell ref="B76:B78"/>
  </mergeCells>
  <phoneticPr fontId="3" type="noConversion"/>
  <printOptions horizontalCentered="1"/>
  <pageMargins left="0.78740157480314965" right="0.78740157480314965" top="0.39370078740157483" bottom="0.39370078740157483" header="0.51181102362204722" footer="0.19685039370078741"/>
  <pageSetup paperSize="9" scale="60"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109年國外旅費決算表</vt:lpstr>
      <vt:lpstr>109年大陸地區旅費決算表</vt:lpstr>
      <vt:lpstr>'109年大陸地區旅費決算表'!Print_Titles</vt:lpstr>
      <vt:lpstr>'109年國外旅費決算表'!Print_Titles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2021-03-24T02:04:16Z</cp:lastPrinted>
  <dcterms:created xsi:type="dcterms:W3CDTF">2021-03-24T02:01:07Z</dcterms:created>
  <dcterms:modified xsi:type="dcterms:W3CDTF">2021-04-13T03:28:55Z</dcterms:modified>
</cp:coreProperties>
</file>